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C:\Users\celinep\Documents\GitHub\STraM_ntnu_development\Data\"/>
    </mc:Choice>
  </mc:AlternateContent>
  <xr:revisionPtr revIDLastSave="0" documentId="13_ncr:1_{6E24D60D-1F1F-4D34-A631-B46E5FF4D2D7}" xr6:coauthVersionLast="47" xr6:coauthVersionMax="47" xr10:uidLastSave="{00000000-0000-0000-0000-000000000000}"/>
  <bookViews>
    <workbookView xWindow="-110" yWindow="-110" windowWidth="19420" windowHeight="10420" tabRatio="828" activeTab="2" xr2:uid="{76D8B127-F22E-4191-BFCA-2B9A6AA03022}"/>
  </bookViews>
  <sheets>
    <sheet name="Legend" sheetId="31" r:id="rId1"/>
    <sheet name="Transfer costs" sheetId="30" r:id="rId2"/>
    <sheet name="Parameter Input" sheetId="2" r:id="rId3"/>
    <sheet name="Output emissions" sheetId="29" r:id="rId4"/>
    <sheet name="Output fuel scenarios" sheetId="34" r:id="rId5"/>
    <sheet name="FIGURES" sheetId="33" r:id="rId6"/>
    <sheet name="Output costs" sheetId="28" r:id="rId7"/>
    <sheet name="Comments Ruben (temp)" sheetId="27" r:id="rId8"/>
    <sheet name="Template_Cost_Calculator" sheetId="1" r:id="rId9"/>
  </sheets>
  <definedNames>
    <definedName name="_xlnm._FilterDatabase" localSheetId="6" hidden="1">'Output costs'!$A$1:$AF$61</definedName>
    <definedName name="_xlnm._FilterDatabase" localSheetId="3" hidden="1">'Output emissions'!$A$1:$J$62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69" i="2" l="1"/>
  <c r="P269" i="2"/>
  <c r="O269" i="2"/>
  <c r="Q266" i="2"/>
  <c r="P266" i="2"/>
  <c r="O266" i="2"/>
  <c r="N266" i="2"/>
  <c r="M266" i="2"/>
  <c r="L266" i="2"/>
  <c r="M264" i="2"/>
  <c r="L264" i="2"/>
  <c r="M261" i="2"/>
  <c r="M262" i="2" s="1"/>
  <c r="L261" i="2"/>
  <c r="L262" i="2" s="1"/>
  <c r="Q257" i="2"/>
  <c r="P257" i="2"/>
  <c r="O257" i="2"/>
  <c r="C256" i="2"/>
  <c r="B256" i="2"/>
  <c r="Q254" i="2"/>
  <c r="P254" i="2"/>
  <c r="O254" i="2"/>
  <c r="N254" i="2"/>
  <c r="M254" i="2"/>
  <c r="L254" i="2"/>
  <c r="C253" i="2"/>
  <c r="B253" i="2"/>
  <c r="M252" i="2"/>
  <c r="L252" i="2"/>
  <c r="C251" i="2"/>
  <c r="B251" i="2"/>
  <c r="C250" i="2"/>
  <c r="B250" i="2"/>
  <c r="M249" i="2"/>
  <c r="M250" i="2" s="1"/>
  <c r="L249" i="2"/>
  <c r="L250" i="2" s="1"/>
  <c r="Q245" i="2"/>
  <c r="P245" i="2"/>
  <c r="O245" i="2"/>
  <c r="C243" i="2"/>
  <c r="B243" i="2"/>
  <c r="Q242" i="2"/>
  <c r="P242" i="2"/>
  <c r="O242" i="2"/>
  <c r="N242" i="2"/>
  <c r="M242" i="2"/>
  <c r="L242" i="2"/>
  <c r="M240" i="2"/>
  <c r="L240" i="2"/>
  <c r="C240" i="2"/>
  <c r="B240" i="2"/>
  <c r="C238" i="2"/>
  <c r="B238" i="2"/>
  <c r="M237" i="2"/>
  <c r="M238" i="2" s="1"/>
  <c r="L237" i="2"/>
  <c r="L238" i="2" s="1"/>
  <c r="C237" i="2"/>
  <c r="B237" i="2"/>
  <c r="Q232" i="2"/>
  <c r="P232" i="2"/>
  <c r="O232" i="2"/>
  <c r="C231" i="2"/>
  <c r="B231" i="2"/>
  <c r="Q229" i="2"/>
  <c r="P229" i="2"/>
  <c r="O229" i="2"/>
  <c r="N229" i="2"/>
  <c r="M229" i="2"/>
  <c r="L229" i="2"/>
  <c r="C228" i="2"/>
  <c r="B228" i="2"/>
  <c r="M227" i="2"/>
  <c r="L227" i="2"/>
  <c r="C226" i="2"/>
  <c r="B226" i="2"/>
  <c r="M225" i="2"/>
  <c r="L225" i="2"/>
  <c r="C225" i="2"/>
  <c r="B225" i="2"/>
  <c r="Q220" i="2"/>
  <c r="P220" i="2"/>
  <c r="O220" i="2"/>
  <c r="E220" i="2"/>
  <c r="C219" i="2"/>
  <c r="B219" i="2"/>
  <c r="Q217" i="2"/>
  <c r="P217" i="2"/>
  <c r="O217" i="2"/>
  <c r="N217" i="2"/>
  <c r="M217" i="2"/>
  <c r="L217" i="2"/>
  <c r="C216" i="2"/>
  <c r="B216" i="2"/>
  <c r="AI215" i="2"/>
  <c r="AI216" i="2" s="1"/>
  <c r="M245" i="2" s="1"/>
  <c r="AH215" i="2"/>
  <c r="M215" i="2"/>
  <c r="L215" i="2"/>
  <c r="AS214" i="2"/>
  <c r="AS215" i="2" s="1"/>
  <c r="AS216" i="2" s="1"/>
  <c r="M269" i="2" s="1"/>
  <c r="AR214" i="2"/>
  <c r="AR215" i="2" s="1"/>
  <c r="AN214" i="2"/>
  <c r="AN215" i="2" s="1"/>
  <c r="AN216" i="2" s="1"/>
  <c r="M257" i="2" s="1"/>
  <c r="AM214" i="2"/>
  <c r="AM215" i="2" s="1"/>
  <c r="AI214" i="2"/>
  <c r="AH214" i="2"/>
  <c r="AD214" i="2"/>
  <c r="AC214" i="2"/>
  <c r="AD215" i="2" s="1"/>
  <c r="AD216" i="2" s="1"/>
  <c r="M232" i="2" s="1"/>
  <c r="Y214" i="2"/>
  <c r="X214" i="2"/>
  <c r="Y215" i="2" s="1"/>
  <c r="Y216" i="2" s="1"/>
  <c r="M220" i="2" s="1"/>
  <c r="C214" i="2"/>
  <c r="B214" i="2"/>
  <c r="M213" i="2"/>
  <c r="L213" i="2"/>
  <c r="C213" i="2"/>
  <c r="B213" i="2"/>
  <c r="AS211" i="2"/>
  <c r="AR211" i="2"/>
  <c r="AR216" i="2" s="1"/>
  <c r="L269" i="2" s="1"/>
  <c r="AN211" i="2"/>
  <c r="AM211" i="2"/>
  <c r="AM216" i="2" s="1"/>
  <c r="L257" i="2" s="1"/>
  <c r="AI211" i="2"/>
  <c r="AH211" i="2"/>
  <c r="AH216" i="2" s="1"/>
  <c r="L245" i="2" s="1"/>
  <c r="AD211" i="2"/>
  <c r="AC211" i="2"/>
  <c r="Y211" i="2"/>
  <c r="X211" i="2"/>
  <c r="C207" i="2"/>
  <c r="C198" i="2"/>
  <c r="B198" i="2"/>
  <c r="C194" i="2"/>
  <c r="C195" i="2" s="1"/>
  <c r="B194" i="2"/>
  <c r="B195" i="2" s="1"/>
  <c r="Q191" i="2"/>
  <c r="P191" i="2"/>
  <c r="O191" i="2"/>
  <c r="M189" i="2"/>
  <c r="L189" i="2"/>
  <c r="Q188" i="2"/>
  <c r="P188" i="2"/>
  <c r="O188" i="2"/>
  <c r="N188" i="2"/>
  <c r="M188" i="2"/>
  <c r="L188" i="2"/>
  <c r="C187" i="2"/>
  <c r="B187" i="2"/>
  <c r="L186" i="2"/>
  <c r="C185" i="2"/>
  <c r="B185" i="2"/>
  <c r="M184" i="2"/>
  <c r="L184" i="2"/>
  <c r="C184" i="2"/>
  <c r="B184" i="2"/>
  <c r="M183" i="2"/>
  <c r="M186" i="2" s="1"/>
  <c r="L183" i="2"/>
  <c r="C183" i="2"/>
  <c r="B183" i="2"/>
  <c r="Q179" i="2"/>
  <c r="P179" i="2"/>
  <c r="O179" i="2"/>
  <c r="M177" i="2"/>
  <c r="L177" i="2"/>
  <c r="Q176" i="2"/>
  <c r="P176" i="2"/>
  <c r="O176" i="2"/>
  <c r="N176" i="2"/>
  <c r="M176" i="2"/>
  <c r="L176" i="2"/>
  <c r="C175" i="2"/>
  <c r="B175" i="2"/>
  <c r="M174" i="2"/>
  <c r="L174" i="2"/>
  <c r="C173" i="2"/>
  <c r="B173" i="2"/>
  <c r="M172" i="2"/>
  <c r="L172" i="2"/>
  <c r="C172" i="2"/>
  <c r="M171" i="2"/>
  <c r="L171" i="2"/>
  <c r="C171" i="2"/>
  <c r="B171" i="2"/>
  <c r="B172" i="2" s="1"/>
  <c r="Q167" i="2"/>
  <c r="P167" i="2"/>
  <c r="O167" i="2"/>
  <c r="Q164" i="2"/>
  <c r="P164" i="2"/>
  <c r="O164" i="2"/>
  <c r="N164" i="2"/>
  <c r="M164" i="2"/>
  <c r="L164" i="2"/>
  <c r="C163" i="2"/>
  <c r="B163" i="2"/>
  <c r="M162" i="2"/>
  <c r="L162" i="2"/>
  <c r="B162" i="2"/>
  <c r="C161" i="2"/>
  <c r="B161" i="2"/>
  <c r="M160" i="2"/>
  <c r="L160" i="2"/>
  <c r="C160" i="2"/>
  <c r="B160" i="2"/>
  <c r="C159" i="2"/>
  <c r="B159" i="2"/>
  <c r="C151" i="2"/>
  <c r="B151" i="2"/>
  <c r="M150" i="2"/>
  <c r="L150" i="2"/>
  <c r="AN149" i="2"/>
  <c r="AM149" i="2"/>
  <c r="AI149" i="2"/>
  <c r="AH149" i="2"/>
  <c r="AD149" i="2"/>
  <c r="AC149" i="2"/>
  <c r="Y149" i="2"/>
  <c r="X149" i="2"/>
  <c r="M148" i="2"/>
  <c r="L148" i="2"/>
  <c r="C148" i="2"/>
  <c r="B148" i="2"/>
  <c r="C147" i="2"/>
  <c r="B147" i="2"/>
  <c r="AN146" i="2"/>
  <c r="AM146" i="2"/>
  <c r="AI146" i="2"/>
  <c r="AH146" i="2"/>
  <c r="AD146" i="2"/>
  <c r="AC146" i="2"/>
  <c r="Y146" i="2"/>
  <c r="X146" i="2"/>
  <c r="E143" i="2"/>
  <c r="C162" i="2" s="1"/>
  <c r="C141" i="2"/>
  <c r="C133" i="2"/>
  <c r="B133" i="2"/>
  <c r="C130" i="2"/>
  <c r="B130" i="2"/>
  <c r="C119" i="2"/>
  <c r="B119" i="2"/>
  <c r="C116" i="2"/>
  <c r="B116" i="2"/>
  <c r="Q109" i="2"/>
  <c r="P109" i="2"/>
  <c r="O109" i="2"/>
  <c r="Q106" i="2"/>
  <c r="P106" i="2"/>
  <c r="O106" i="2"/>
  <c r="N106" i="2"/>
  <c r="M106" i="2"/>
  <c r="L106" i="2"/>
  <c r="C106" i="2"/>
  <c r="B106" i="2"/>
  <c r="C103" i="2"/>
  <c r="B103" i="2"/>
  <c r="M102" i="2"/>
  <c r="L102" i="2"/>
  <c r="Q97" i="2"/>
  <c r="P97" i="2"/>
  <c r="O97" i="2"/>
  <c r="Q94" i="2"/>
  <c r="P94" i="2"/>
  <c r="O94" i="2"/>
  <c r="N94" i="2"/>
  <c r="M94" i="2"/>
  <c r="L94" i="2"/>
  <c r="C93" i="2"/>
  <c r="B93" i="2"/>
  <c r="M90" i="2"/>
  <c r="L90" i="2"/>
  <c r="C90" i="2"/>
  <c r="B90" i="2"/>
  <c r="Q85" i="2"/>
  <c r="P85" i="2"/>
  <c r="Q82" i="2"/>
  <c r="P82" i="2"/>
  <c r="O82" i="2"/>
  <c r="M82" i="2"/>
  <c r="L82" i="2"/>
  <c r="C81" i="2"/>
  <c r="B81" i="2"/>
  <c r="AI80" i="2"/>
  <c r="AI81" i="2" s="1"/>
  <c r="M97" i="2" s="1"/>
  <c r="AD80" i="2"/>
  <c r="AD81" i="2" s="1"/>
  <c r="M109" i="2" s="1"/>
  <c r="AI79" i="2"/>
  <c r="AH79" i="2"/>
  <c r="AH80" i="2" s="1"/>
  <c r="AD79" i="2"/>
  <c r="AC79" i="2"/>
  <c r="AC80" i="2" s="1"/>
  <c r="Y79" i="2"/>
  <c r="X79" i="2"/>
  <c r="Y80" i="2" s="1"/>
  <c r="Y81" i="2" s="1"/>
  <c r="M85" i="2" s="1"/>
  <c r="M78" i="2"/>
  <c r="L78" i="2"/>
  <c r="C78" i="2"/>
  <c r="B78" i="2"/>
  <c r="AI76" i="2"/>
  <c r="AH76" i="2"/>
  <c r="AD76" i="2"/>
  <c r="AC76" i="2"/>
  <c r="AC81" i="2" s="1"/>
  <c r="L109" i="2" s="1"/>
  <c r="Y76" i="2"/>
  <c r="X76" i="2"/>
  <c r="C72" i="2"/>
  <c r="AK56" i="2"/>
  <c r="AJ56" i="2"/>
  <c r="AI56" i="2"/>
  <c r="AH56" i="2"/>
  <c r="AG56" i="2"/>
  <c r="AF56" i="2"/>
  <c r="AE56" i="2"/>
  <c r="AD56" i="2"/>
  <c r="AC56" i="2"/>
  <c r="AB56" i="2"/>
  <c r="AA56" i="2"/>
  <c r="Z56" i="2"/>
  <c r="Y56" i="2"/>
  <c r="X56" i="2"/>
  <c r="W56" i="2"/>
  <c r="V56" i="2"/>
  <c r="U56" i="2"/>
  <c r="T56" i="2"/>
  <c r="S56" i="2"/>
  <c r="R56" i="2"/>
  <c r="Q56" i="2"/>
  <c r="P56" i="2"/>
  <c r="O56" i="2"/>
  <c r="N56" i="2"/>
  <c r="M56" i="2"/>
  <c r="L56" i="2"/>
  <c r="K56" i="2"/>
  <c r="J56" i="2"/>
  <c r="X81" i="2" l="1"/>
  <c r="L85" i="2" s="1"/>
  <c r="X216" i="2"/>
  <c r="L220" i="2" s="1"/>
  <c r="AH81" i="2"/>
  <c r="L97" i="2" s="1"/>
  <c r="X80" i="2"/>
  <c r="B174" i="2"/>
  <c r="B150" i="2"/>
  <c r="C174" i="2"/>
  <c r="B186" i="2"/>
  <c r="X215" i="2"/>
  <c r="C150" i="2"/>
  <c r="C186" i="2"/>
  <c r="AC215" i="2"/>
  <c r="AC216" i="2" s="1"/>
  <c r="L232" i="2" s="1"/>
  <c r="M151" i="2" l="1"/>
  <c r="L151" i="2"/>
  <c r="Y150" i="2" l="1"/>
  <c r="Y151" i="2" s="1"/>
  <c r="M155" i="2" s="1"/>
  <c r="M163" i="2"/>
  <c r="AI150" i="2" s="1"/>
  <c r="AI151" i="2" s="1"/>
  <c r="M167" i="2" s="1"/>
  <c r="M187" i="2"/>
  <c r="AD150" i="2" s="1"/>
  <c r="AD151" i="2" s="1"/>
  <c r="M191" i="2" s="1"/>
  <c r="M175" i="2"/>
  <c r="AN150" i="2" s="1"/>
  <c r="AN151" i="2" s="1"/>
  <c r="M179" i="2" s="1"/>
  <c r="L175" i="2"/>
  <c r="AM150" i="2" s="1"/>
  <c r="AM151" i="2" s="1"/>
  <c r="L179" i="2" s="1"/>
  <c r="AE181" i="2"/>
  <c r="AF181" i="2" s="1"/>
  <c r="X150" i="2"/>
  <c r="X151" i="2" s="1"/>
  <c r="L155" i="2" s="1"/>
  <c r="L163" i="2"/>
  <c r="AH150" i="2" s="1"/>
  <c r="AH151" i="2" s="1"/>
  <c r="L167" i="2" s="1"/>
  <c r="L187" i="2"/>
  <c r="AC150" i="2" s="1"/>
  <c r="AC151" i="2" s="1"/>
  <c r="L191" i="2" s="1"/>
  <c r="C574" i="33" l="1"/>
  <c r="D574" i="33"/>
  <c r="E574" i="33"/>
  <c r="F574" i="33"/>
  <c r="G574" i="33"/>
  <c r="C624" i="33" s="1"/>
  <c r="H574" i="33"/>
  <c r="I574" i="33"/>
  <c r="J574" i="33"/>
  <c r="K574" i="33"/>
  <c r="L574" i="33"/>
  <c r="M574" i="33"/>
  <c r="D624" i="33" s="1"/>
  <c r="N574" i="33"/>
  <c r="O574" i="33"/>
  <c r="P574" i="33"/>
  <c r="Q574" i="33"/>
  <c r="R574" i="33"/>
  <c r="S574" i="33"/>
  <c r="E624" i="33" s="1"/>
  <c r="T574" i="33"/>
  <c r="U574" i="33"/>
  <c r="V574" i="33"/>
  <c r="W574" i="33"/>
  <c r="X574" i="33"/>
  <c r="Y574" i="33"/>
  <c r="Z574" i="33"/>
  <c r="AA574" i="33"/>
  <c r="AB574" i="33"/>
  <c r="AC574" i="33"/>
  <c r="F624" i="33" s="1"/>
  <c r="C575" i="33"/>
  <c r="D575" i="33"/>
  <c r="E575" i="33"/>
  <c r="F575" i="33"/>
  <c r="G575" i="33"/>
  <c r="C625" i="33" s="1"/>
  <c r="H575" i="33"/>
  <c r="I575" i="33"/>
  <c r="J575" i="33"/>
  <c r="K575" i="33"/>
  <c r="L575" i="33"/>
  <c r="M575" i="33"/>
  <c r="D625" i="33" s="1"/>
  <c r="N575" i="33"/>
  <c r="O575" i="33"/>
  <c r="P575" i="33"/>
  <c r="Q575" i="33"/>
  <c r="R575" i="33"/>
  <c r="S575" i="33"/>
  <c r="E625" i="33" s="1"/>
  <c r="T575" i="33"/>
  <c r="U575" i="33"/>
  <c r="V575" i="33"/>
  <c r="W575" i="33"/>
  <c r="X575" i="33"/>
  <c r="Y575" i="33"/>
  <c r="Z575" i="33"/>
  <c r="AA575" i="33"/>
  <c r="AB575" i="33"/>
  <c r="AC575" i="33"/>
  <c r="F625" i="33" s="1"/>
  <c r="C576" i="33"/>
  <c r="D576" i="33"/>
  <c r="E576" i="33"/>
  <c r="F576" i="33"/>
  <c r="G576" i="33"/>
  <c r="C626" i="33" s="1"/>
  <c r="H576" i="33"/>
  <c r="I576" i="33"/>
  <c r="J576" i="33"/>
  <c r="K576" i="33"/>
  <c r="L576" i="33"/>
  <c r="M576" i="33"/>
  <c r="D626" i="33" s="1"/>
  <c r="N576" i="33"/>
  <c r="O576" i="33"/>
  <c r="P576" i="33"/>
  <c r="Q576" i="33"/>
  <c r="R576" i="33"/>
  <c r="S576" i="33"/>
  <c r="E626" i="33" s="1"/>
  <c r="T576" i="33"/>
  <c r="U576" i="33"/>
  <c r="V576" i="33"/>
  <c r="W576" i="33"/>
  <c r="X576" i="33"/>
  <c r="Y576" i="33"/>
  <c r="Z576" i="33"/>
  <c r="AA576" i="33"/>
  <c r="AB576" i="33"/>
  <c r="AC576" i="33"/>
  <c r="F626" i="33" s="1"/>
  <c r="C577" i="33"/>
  <c r="D577" i="33"/>
  <c r="E577" i="33"/>
  <c r="F577" i="33"/>
  <c r="G577" i="33"/>
  <c r="C627" i="33" s="1"/>
  <c r="H577" i="33"/>
  <c r="I577" i="33"/>
  <c r="J577" i="33"/>
  <c r="K577" i="33"/>
  <c r="L577" i="33"/>
  <c r="M577" i="33"/>
  <c r="D627" i="33" s="1"/>
  <c r="N577" i="33"/>
  <c r="O577" i="33"/>
  <c r="P577" i="33"/>
  <c r="Q577" i="33"/>
  <c r="R577" i="33"/>
  <c r="S577" i="33"/>
  <c r="E627" i="33" s="1"/>
  <c r="T577" i="33"/>
  <c r="U577" i="33"/>
  <c r="V577" i="33"/>
  <c r="W577" i="33"/>
  <c r="X577" i="33"/>
  <c r="Y577" i="33"/>
  <c r="Z577" i="33"/>
  <c r="AA577" i="33"/>
  <c r="AB577" i="33"/>
  <c r="AC577" i="33"/>
  <c r="F627" i="33" s="1"/>
  <c r="C578" i="33"/>
  <c r="D578" i="33"/>
  <c r="E578" i="33"/>
  <c r="F578" i="33"/>
  <c r="G578" i="33"/>
  <c r="C628" i="33" s="1"/>
  <c r="H578" i="33"/>
  <c r="I578" i="33"/>
  <c r="J578" i="33"/>
  <c r="K578" i="33"/>
  <c r="L578" i="33"/>
  <c r="M578" i="33"/>
  <c r="D628" i="33" s="1"/>
  <c r="N578" i="33"/>
  <c r="O578" i="33"/>
  <c r="P578" i="33"/>
  <c r="Q578" i="33"/>
  <c r="R578" i="33"/>
  <c r="S578" i="33"/>
  <c r="E628" i="33" s="1"/>
  <c r="T578" i="33"/>
  <c r="U578" i="33"/>
  <c r="V578" i="33"/>
  <c r="W578" i="33"/>
  <c r="X578" i="33"/>
  <c r="Y578" i="33"/>
  <c r="Z578" i="33"/>
  <c r="AA578" i="33"/>
  <c r="AB578" i="33"/>
  <c r="AC578" i="33"/>
  <c r="F628" i="33" s="1"/>
  <c r="C579" i="33"/>
  <c r="D579" i="33"/>
  <c r="E579" i="33"/>
  <c r="F579" i="33"/>
  <c r="G579" i="33"/>
  <c r="C629" i="33" s="1"/>
  <c r="H579" i="33"/>
  <c r="I579" i="33"/>
  <c r="J579" i="33"/>
  <c r="K579" i="33"/>
  <c r="L579" i="33"/>
  <c r="M579" i="33"/>
  <c r="D629" i="33" s="1"/>
  <c r="N579" i="33"/>
  <c r="O579" i="33"/>
  <c r="P579" i="33"/>
  <c r="Q579" i="33"/>
  <c r="R579" i="33"/>
  <c r="S579" i="33"/>
  <c r="E629" i="33" s="1"/>
  <c r="T579" i="33"/>
  <c r="U579" i="33"/>
  <c r="V579" i="33"/>
  <c r="W579" i="33"/>
  <c r="X579" i="33"/>
  <c r="Y579" i="33"/>
  <c r="Z579" i="33"/>
  <c r="AA579" i="33"/>
  <c r="AB579" i="33"/>
  <c r="AC579" i="33"/>
  <c r="F629" i="33" s="1"/>
  <c r="C580" i="33"/>
  <c r="D580" i="33"/>
  <c r="E580" i="33"/>
  <c r="F580" i="33"/>
  <c r="G580" i="33"/>
  <c r="C630" i="33" s="1"/>
  <c r="H580" i="33"/>
  <c r="I580" i="33"/>
  <c r="J580" i="33"/>
  <c r="K580" i="33"/>
  <c r="L580" i="33"/>
  <c r="M580" i="33"/>
  <c r="D630" i="33" s="1"/>
  <c r="N580" i="33"/>
  <c r="O580" i="33"/>
  <c r="P580" i="33"/>
  <c r="Q580" i="33"/>
  <c r="R580" i="33"/>
  <c r="S580" i="33"/>
  <c r="E630" i="33" s="1"/>
  <c r="T580" i="33"/>
  <c r="U580" i="33"/>
  <c r="V580" i="33"/>
  <c r="W580" i="33"/>
  <c r="X580" i="33"/>
  <c r="Y580" i="33"/>
  <c r="Z580" i="33"/>
  <c r="AA580" i="33"/>
  <c r="AB580" i="33"/>
  <c r="AC580" i="33"/>
  <c r="F630" i="33" s="1"/>
  <c r="C581" i="33"/>
  <c r="D581" i="33"/>
  <c r="E581" i="33"/>
  <c r="F581" i="33"/>
  <c r="G581" i="33"/>
  <c r="C631" i="33" s="1"/>
  <c r="C650" i="33" s="1"/>
  <c r="C651" i="33" s="1"/>
  <c r="H581" i="33"/>
  <c r="I581" i="33"/>
  <c r="J581" i="33"/>
  <c r="K581" i="33"/>
  <c r="L581" i="33"/>
  <c r="M581" i="33"/>
  <c r="D631" i="33" s="1"/>
  <c r="D650" i="33" s="1"/>
  <c r="D651" i="33" s="1"/>
  <c r="N581" i="33"/>
  <c r="O581" i="33"/>
  <c r="P581" i="33"/>
  <c r="Q581" i="33"/>
  <c r="R581" i="33"/>
  <c r="S581" i="33"/>
  <c r="E631" i="33" s="1"/>
  <c r="E650" i="33" s="1"/>
  <c r="E651" i="33" s="1"/>
  <c r="T581" i="33"/>
  <c r="U581" i="33"/>
  <c r="V581" i="33"/>
  <c r="W581" i="33"/>
  <c r="X581" i="33"/>
  <c r="Y581" i="33"/>
  <c r="Z581" i="33"/>
  <c r="AA581" i="33"/>
  <c r="AB581" i="33"/>
  <c r="AC581" i="33"/>
  <c r="F631" i="33" s="1"/>
  <c r="F650" i="33" s="1"/>
  <c r="F651" i="33" s="1"/>
  <c r="C582" i="33"/>
  <c r="D582" i="33"/>
  <c r="E582" i="33"/>
  <c r="F582" i="33"/>
  <c r="G582" i="33"/>
  <c r="C632" i="33" s="1"/>
  <c r="C654" i="33" s="1"/>
  <c r="H582" i="33"/>
  <c r="I582" i="33"/>
  <c r="J582" i="33"/>
  <c r="K582" i="33"/>
  <c r="L582" i="33"/>
  <c r="M582" i="33"/>
  <c r="D632" i="33" s="1"/>
  <c r="D654" i="33" s="1"/>
  <c r="D655" i="33" s="1"/>
  <c r="N582" i="33"/>
  <c r="O582" i="33"/>
  <c r="P582" i="33"/>
  <c r="Q582" i="33"/>
  <c r="R582" i="33"/>
  <c r="S582" i="33"/>
  <c r="E632" i="33" s="1"/>
  <c r="E654" i="33" s="1"/>
  <c r="T582" i="33"/>
  <c r="U582" i="33"/>
  <c r="V582" i="33"/>
  <c r="W582" i="33"/>
  <c r="X582" i="33"/>
  <c r="Y582" i="33"/>
  <c r="Z582" i="33"/>
  <c r="AA582" i="33"/>
  <c r="AB582" i="33"/>
  <c r="AC582" i="33"/>
  <c r="F632" i="33" s="1"/>
  <c r="F654" i="33" s="1"/>
  <c r="F655" i="33" s="1"/>
  <c r="C583" i="33"/>
  <c r="D583" i="33"/>
  <c r="E583" i="33"/>
  <c r="F583" i="33"/>
  <c r="G583" i="33"/>
  <c r="C633" i="33" s="1"/>
  <c r="C658" i="33" s="1"/>
  <c r="C659" i="33" s="1"/>
  <c r="H583" i="33"/>
  <c r="I583" i="33"/>
  <c r="J583" i="33"/>
  <c r="K583" i="33"/>
  <c r="L583" i="33"/>
  <c r="M583" i="33"/>
  <c r="D633" i="33" s="1"/>
  <c r="D658" i="33" s="1"/>
  <c r="D659" i="33" s="1"/>
  <c r="N583" i="33"/>
  <c r="O583" i="33"/>
  <c r="P583" i="33"/>
  <c r="Q583" i="33"/>
  <c r="R583" i="33"/>
  <c r="S583" i="33"/>
  <c r="E633" i="33" s="1"/>
  <c r="E658" i="33" s="1"/>
  <c r="E659" i="33" s="1"/>
  <c r="T583" i="33"/>
  <c r="U583" i="33"/>
  <c r="V583" i="33"/>
  <c r="W583" i="33"/>
  <c r="X583" i="33"/>
  <c r="Y583" i="33"/>
  <c r="Z583" i="33"/>
  <c r="AA583" i="33"/>
  <c r="AB583" i="33"/>
  <c r="AC583" i="33"/>
  <c r="F633" i="33" s="1"/>
  <c r="F658" i="33" s="1"/>
  <c r="F659" i="33" s="1"/>
  <c r="C584" i="33"/>
  <c r="D584" i="33"/>
  <c r="E584" i="33"/>
  <c r="F584" i="33"/>
  <c r="G584" i="33"/>
  <c r="C634" i="33" s="1"/>
  <c r="C662" i="33" s="1"/>
  <c r="C663" i="33" s="1"/>
  <c r="H584" i="33"/>
  <c r="I584" i="33"/>
  <c r="J584" i="33"/>
  <c r="K584" i="33"/>
  <c r="L584" i="33"/>
  <c r="M584" i="33"/>
  <c r="D634" i="33" s="1"/>
  <c r="D662" i="33" s="1"/>
  <c r="N584" i="33"/>
  <c r="O584" i="33"/>
  <c r="P584" i="33"/>
  <c r="Q584" i="33"/>
  <c r="R584" i="33"/>
  <c r="S584" i="33"/>
  <c r="E634" i="33" s="1"/>
  <c r="E662" i="33" s="1"/>
  <c r="E663" i="33" s="1"/>
  <c r="T584" i="33"/>
  <c r="U584" i="33"/>
  <c r="V584" i="33"/>
  <c r="W584" i="33"/>
  <c r="X584" i="33"/>
  <c r="Y584" i="33"/>
  <c r="Z584" i="33"/>
  <c r="AA584" i="33"/>
  <c r="AB584" i="33"/>
  <c r="AC584" i="33"/>
  <c r="F634" i="33" s="1"/>
  <c r="F662" i="33" s="1"/>
  <c r="C585" i="33"/>
  <c r="D585" i="33"/>
  <c r="E585" i="33"/>
  <c r="F585" i="33"/>
  <c r="G585" i="33"/>
  <c r="C635" i="33" s="1"/>
  <c r="C666" i="33" s="1"/>
  <c r="C667" i="33" s="1"/>
  <c r="H585" i="33"/>
  <c r="I585" i="33"/>
  <c r="J585" i="33"/>
  <c r="K585" i="33"/>
  <c r="L585" i="33"/>
  <c r="M585" i="33"/>
  <c r="D635" i="33" s="1"/>
  <c r="D666" i="33" s="1"/>
  <c r="D667" i="33" s="1"/>
  <c r="N585" i="33"/>
  <c r="O585" i="33"/>
  <c r="P585" i="33"/>
  <c r="Q585" i="33"/>
  <c r="R585" i="33"/>
  <c r="S585" i="33"/>
  <c r="E635" i="33" s="1"/>
  <c r="E666" i="33" s="1"/>
  <c r="E667" i="33" s="1"/>
  <c r="T585" i="33"/>
  <c r="U585" i="33"/>
  <c r="V585" i="33"/>
  <c r="W585" i="33"/>
  <c r="X585" i="33"/>
  <c r="Y585" i="33"/>
  <c r="Z585" i="33"/>
  <c r="AA585" i="33"/>
  <c r="AB585" i="33"/>
  <c r="AC585" i="33"/>
  <c r="F635" i="33" s="1"/>
  <c r="F666" i="33" s="1"/>
  <c r="F667" i="33" s="1"/>
  <c r="C586" i="33"/>
  <c r="D586" i="33"/>
  <c r="E586" i="33"/>
  <c r="F586" i="33"/>
  <c r="G586" i="33"/>
  <c r="C636" i="33" s="1"/>
  <c r="C670" i="33" s="1"/>
  <c r="H586" i="33"/>
  <c r="I586" i="33"/>
  <c r="J586" i="33"/>
  <c r="K586" i="33"/>
  <c r="L586" i="33"/>
  <c r="M586" i="33"/>
  <c r="D636" i="33" s="1"/>
  <c r="D670" i="33" s="1"/>
  <c r="D671" i="33" s="1"/>
  <c r="N586" i="33"/>
  <c r="O586" i="33"/>
  <c r="P586" i="33"/>
  <c r="Q586" i="33"/>
  <c r="R586" i="33"/>
  <c r="S586" i="33"/>
  <c r="E636" i="33" s="1"/>
  <c r="E670" i="33" s="1"/>
  <c r="T586" i="33"/>
  <c r="U586" i="33"/>
  <c r="V586" i="33"/>
  <c r="W586" i="33"/>
  <c r="X586" i="33"/>
  <c r="Y586" i="33"/>
  <c r="Z586" i="33"/>
  <c r="AA586" i="33"/>
  <c r="AB586" i="33"/>
  <c r="AC586" i="33"/>
  <c r="F636" i="33" s="1"/>
  <c r="F670" i="33" s="1"/>
  <c r="F671" i="33" s="1"/>
  <c r="C587" i="33"/>
  <c r="D587" i="33"/>
  <c r="E587" i="33"/>
  <c r="F587" i="33"/>
  <c r="G587" i="33"/>
  <c r="C637" i="33" s="1"/>
  <c r="C674" i="33" s="1"/>
  <c r="C675" i="33" s="1"/>
  <c r="H587" i="33"/>
  <c r="I587" i="33"/>
  <c r="J587" i="33"/>
  <c r="K587" i="33"/>
  <c r="L587" i="33"/>
  <c r="M587" i="33"/>
  <c r="D637" i="33" s="1"/>
  <c r="D674" i="33" s="1"/>
  <c r="D675" i="33" s="1"/>
  <c r="N587" i="33"/>
  <c r="O587" i="33"/>
  <c r="P587" i="33"/>
  <c r="Q587" i="33"/>
  <c r="R587" i="33"/>
  <c r="S587" i="33"/>
  <c r="E637" i="33" s="1"/>
  <c r="E674" i="33" s="1"/>
  <c r="E675" i="33" s="1"/>
  <c r="T587" i="33"/>
  <c r="U587" i="33"/>
  <c r="V587" i="33"/>
  <c r="W587" i="33"/>
  <c r="X587" i="33"/>
  <c r="Y587" i="33"/>
  <c r="Z587" i="33"/>
  <c r="AA587" i="33"/>
  <c r="AB587" i="33"/>
  <c r="AC587" i="33"/>
  <c r="F637" i="33" s="1"/>
  <c r="F674" i="33" s="1"/>
  <c r="F675" i="33" s="1"/>
  <c r="C588" i="33"/>
  <c r="D588" i="33"/>
  <c r="E588" i="33"/>
  <c r="F588" i="33"/>
  <c r="G588" i="33"/>
  <c r="C638" i="33" s="1"/>
  <c r="C652" i="33" s="1"/>
  <c r="H588" i="33"/>
  <c r="I588" i="33"/>
  <c r="J588" i="33"/>
  <c r="K588" i="33"/>
  <c r="L588" i="33"/>
  <c r="M588" i="33"/>
  <c r="D638" i="33" s="1"/>
  <c r="N588" i="33"/>
  <c r="O588" i="33"/>
  <c r="P588" i="33"/>
  <c r="Q588" i="33"/>
  <c r="R588" i="33"/>
  <c r="S588" i="33"/>
  <c r="E638" i="33" s="1"/>
  <c r="E652" i="33" s="1"/>
  <c r="T588" i="33"/>
  <c r="U588" i="33"/>
  <c r="V588" i="33"/>
  <c r="W588" i="33"/>
  <c r="X588" i="33"/>
  <c r="Y588" i="33"/>
  <c r="Z588" i="33"/>
  <c r="AA588" i="33"/>
  <c r="AB588" i="33"/>
  <c r="AC588" i="33"/>
  <c r="F638" i="33" s="1"/>
  <c r="C589" i="33"/>
  <c r="D589" i="33"/>
  <c r="E589" i="33"/>
  <c r="F589" i="33"/>
  <c r="G589" i="33"/>
  <c r="C639" i="33" s="1"/>
  <c r="C656" i="33" s="1"/>
  <c r="H589" i="33"/>
  <c r="I589" i="33"/>
  <c r="J589" i="33"/>
  <c r="K589" i="33"/>
  <c r="L589" i="33"/>
  <c r="M589" i="33"/>
  <c r="D639" i="33" s="1"/>
  <c r="D656" i="33" s="1"/>
  <c r="N589" i="33"/>
  <c r="O589" i="33"/>
  <c r="P589" i="33"/>
  <c r="Q589" i="33"/>
  <c r="R589" i="33"/>
  <c r="S589" i="33"/>
  <c r="E639" i="33" s="1"/>
  <c r="E656" i="33" s="1"/>
  <c r="T589" i="33"/>
  <c r="U589" i="33"/>
  <c r="V589" i="33"/>
  <c r="W589" i="33"/>
  <c r="X589" i="33"/>
  <c r="Y589" i="33"/>
  <c r="Z589" i="33"/>
  <c r="AA589" i="33"/>
  <c r="AB589" i="33"/>
  <c r="AC589" i="33"/>
  <c r="F639" i="33" s="1"/>
  <c r="F656" i="33" s="1"/>
  <c r="C590" i="33"/>
  <c r="D590" i="33"/>
  <c r="E590" i="33"/>
  <c r="F590" i="33"/>
  <c r="G590" i="33"/>
  <c r="C640" i="33" s="1"/>
  <c r="H590" i="33"/>
  <c r="I590" i="33"/>
  <c r="J590" i="33"/>
  <c r="K590" i="33"/>
  <c r="L590" i="33"/>
  <c r="M590" i="33"/>
  <c r="D640" i="33" s="1"/>
  <c r="D660" i="33" s="1"/>
  <c r="N590" i="33"/>
  <c r="O590" i="33"/>
  <c r="P590" i="33"/>
  <c r="Q590" i="33"/>
  <c r="R590" i="33"/>
  <c r="S590" i="33"/>
  <c r="E640" i="33" s="1"/>
  <c r="T590" i="33"/>
  <c r="U590" i="33"/>
  <c r="V590" i="33"/>
  <c r="W590" i="33"/>
  <c r="X590" i="33"/>
  <c r="Y590" i="33"/>
  <c r="Z590" i="33"/>
  <c r="AA590" i="33"/>
  <c r="AB590" i="33"/>
  <c r="AC590" i="33"/>
  <c r="F640" i="33" s="1"/>
  <c r="F660" i="33" s="1"/>
  <c r="C591" i="33"/>
  <c r="D591" i="33"/>
  <c r="E591" i="33"/>
  <c r="F591" i="33"/>
  <c r="G591" i="33"/>
  <c r="C641" i="33" s="1"/>
  <c r="C664" i="33" s="1"/>
  <c r="H591" i="33"/>
  <c r="I591" i="33"/>
  <c r="J591" i="33"/>
  <c r="K591" i="33"/>
  <c r="L591" i="33"/>
  <c r="M591" i="33"/>
  <c r="D641" i="33" s="1"/>
  <c r="D664" i="33" s="1"/>
  <c r="N591" i="33"/>
  <c r="O591" i="33"/>
  <c r="P591" i="33"/>
  <c r="Q591" i="33"/>
  <c r="R591" i="33"/>
  <c r="S591" i="33"/>
  <c r="E641" i="33" s="1"/>
  <c r="E664" i="33" s="1"/>
  <c r="T591" i="33"/>
  <c r="U591" i="33"/>
  <c r="V591" i="33"/>
  <c r="W591" i="33"/>
  <c r="X591" i="33"/>
  <c r="Y591" i="33"/>
  <c r="Z591" i="33"/>
  <c r="AA591" i="33"/>
  <c r="AB591" i="33"/>
  <c r="AC591" i="33"/>
  <c r="F641" i="33" s="1"/>
  <c r="F664" i="33" s="1"/>
  <c r="C592" i="33"/>
  <c r="D592" i="33"/>
  <c r="E592" i="33"/>
  <c r="F592" i="33"/>
  <c r="G592" i="33"/>
  <c r="C642" i="33" s="1"/>
  <c r="C668" i="33" s="1"/>
  <c r="H592" i="33"/>
  <c r="I592" i="33"/>
  <c r="J592" i="33"/>
  <c r="K592" i="33"/>
  <c r="L592" i="33"/>
  <c r="M592" i="33"/>
  <c r="D642" i="33" s="1"/>
  <c r="N592" i="33"/>
  <c r="O592" i="33"/>
  <c r="P592" i="33"/>
  <c r="Q592" i="33"/>
  <c r="R592" i="33"/>
  <c r="S592" i="33"/>
  <c r="E642" i="33" s="1"/>
  <c r="E668" i="33" s="1"/>
  <c r="T592" i="33"/>
  <c r="U592" i="33"/>
  <c r="V592" i="33"/>
  <c r="W592" i="33"/>
  <c r="X592" i="33"/>
  <c r="Y592" i="33"/>
  <c r="Z592" i="33"/>
  <c r="AA592" i="33"/>
  <c r="AB592" i="33"/>
  <c r="AC592" i="33"/>
  <c r="F642" i="33" s="1"/>
  <c r="C593" i="33"/>
  <c r="D593" i="33"/>
  <c r="E593" i="33"/>
  <c r="F593" i="33"/>
  <c r="G593" i="33"/>
  <c r="C643" i="33" s="1"/>
  <c r="C672" i="33" s="1"/>
  <c r="H593" i="33"/>
  <c r="I593" i="33"/>
  <c r="J593" i="33"/>
  <c r="K593" i="33"/>
  <c r="L593" i="33"/>
  <c r="M593" i="33"/>
  <c r="D643" i="33" s="1"/>
  <c r="D672" i="33" s="1"/>
  <c r="N593" i="33"/>
  <c r="O593" i="33"/>
  <c r="P593" i="33"/>
  <c r="Q593" i="33"/>
  <c r="R593" i="33"/>
  <c r="S593" i="33"/>
  <c r="E643" i="33" s="1"/>
  <c r="E672" i="33" s="1"/>
  <c r="T593" i="33"/>
  <c r="U593" i="33"/>
  <c r="V593" i="33"/>
  <c r="W593" i="33"/>
  <c r="X593" i="33"/>
  <c r="Y593" i="33"/>
  <c r="Z593" i="33"/>
  <c r="AA593" i="33"/>
  <c r="AB593" i="33"/>
  <c r="AC593" i="33"/>
  <c r="F643" i="33" s="1"/>
  <c r="F672" i="33" s="1"/>
  <c r="C594" i="33"/>
  <c r="D594" i="33"/>
  <c r="E594" i="33"/>
  <c r="F594" i="33"/>
  <c r="G594" i="33"/>
  <c r="C644" i="33" s="1"/>
  <c r="H594" i="33"/>
  <c r="I594" i="33"/>
  <c r="J594" i="33"/>
  <c r="K594" i="33"/>
  <c r="L594" i="33"/>
  <c r="M594" i="33"/>
  <c r="D644" i="33" s="1"/>
  <c r="D676" i="33" s="1"/>
  <c r="N594" i="33"/>
  <c r="O594" i="33"/>
  <c r="P594" i="33"/>
  <c r="Q594" i="33"/>
  <c r="R594" i="33"/>
  <c r="S594" i="33"/>
  <c r="E644" i="33" s="1"/>
  <c r="T594" i="33"/>
  <c r="U594" i="33"/>
  <c r="V594" i="33"/>
  <c r="W594" i="33"/>
  <c r="X594" i="33"/>
  <c r="Y594" i="33"/>
  <c r="Z594" i="33"/>
  <c r="AA594" i="33"/>
  <c r="AB594" i="33"/>
  <c r="AC594" i="33"/>
  <c r="F644" i="33" s="1"/>
  <c r="F676" i="33" s="1"/>
  <c r="B575" i="33"/>
  <c r="B625" i="33" s="1"/>
  <c r="B576" i="33"/>
  <c r="B626" i="33" s="1"/>
  <c r="B577" i="33"/>
  <c r="B627" i="33" s="1"/>
  <c r="B578" i="33"/>
  <c r="B628" i="33" s="1"/>
  <c r="B579" i="33"/>
  <c r="B629" i="33" s="1"/>
  <c r="B580" i="33"/>
  <c r="B630" i="33" s="1"/>
  <c r="B581" i="33"/>
  <c r="B631" i="33" s="1"/>
  <c r="B650" i="33" s="1"/>
  <c r="B582" i="33"/>
  <c r="B632" i="33" s="1"/>
  <c r="B654" i="33" s="1"/>
  <c r="B583" i="33"/>
  <c r="B633" i="33" s="1"/>
  <c r="B658" i="33" s="1"/>
  <c r="B659" i="33" s="1"/>
  <c r="B584" i="33"/>
  <c r="B634" i="33" s="1"/>
  <c r="B662" i="33" s="1"/>
  <c r="B663" i="33" s="1"/>
  <c r="B585" i="33"/>
  <c r="B635" i="33" s="1"/>
  <c r="B666" i="33" s="1"/>
  <c r="B586" i="33"/>
  <c r="B636" i="33" s="1"/>
  <c r="B670" i="33" s="1"/>
  <c r="B587" i="33"/>
  <c r="B637" i="33" s="1"/>
  <c r="B674" i="33" s="1"/>
  <c r="B675" i="33" s="1"/>
  <c r="B588" i="33"/>
  <c r="B638" i="33" s="1"/>
  <c r="B652" i="33" s="1"/>
  <c r="B589" i="33"/>
  <c r="B639" i="33" s="1"/>
  <c r="B590" i="33"/>
  <c r="B640" i="33" s="1"/>
  <c r="B591" i="33"/>
  <c r="B641" i="33" s="1"/>
  <c r="B664" i="33" s="1"/>
  <c r="B592" i="33"/>
  <c r="B642" i="33" s="1"/>
  <c r="B668" i="33" s="1"/>
  <c r="B593" i="33"/>
  <c r="B643" i="33" s="1"/>
  <c r="B672" i="33" s="1"/>
  <c r="B594" i="33"/>
  <c r="B644" i="33" s="1"/>
  <c r="B574" i="33"/>
  <c r="B624" i="33" s="1"/>
  <c r="BP272" i="33"/>
  <c r="BP271" i="33"/>
  <c r="BP270" i="33"/>
  <c r="CF303" i="33" s="1"/>
  <c r="BP269" i="33"/>
  <c r="BP268" i="33"/>
  <c r="BP267" i="33"/>
  <c r="BP266" i="33"/>
  <c r="BP265" i="33"/>
  <c r="BP264" i="33"/>
  <c r="BP338" i="33"/>
  <c r="BP337" i="33"/>
  <c r="CG304" i="33" s="1"/>
  <c r="BP336" i="33"/>
  <c r="CG303" i="33" s="1"/>
  <c r="BP335" i="33"/>
  <c r="BP334" i="33"/>
  <c r="BP333" i="33"/>
  <c r="CG300" i="33" s="1"/>
  <c r="BP332" i="33"/>
  <c r="BP331" i="33"/>
  <c r="BP330" i="33"/>
  <c r="CG296" i="33" s="1"/>
  <c r="BP298" i="33"/>
  <c r="CG297" i="33" s="1"/>
  <c r="BP299" i="33"/>
  <c r="BP300" i="33"/>
  <c r="CF300" i="33" s="1"/>
  <c r="BP301" i="33"/>
  <c r="CF299" i="33" s="1"/>
  <c r="BP302" i="33"/>
  <c r="BP303" i="33"/>
  <c r="BP304" i="33"/>
  <c r="CF304" i="33" s="1"/>
  <c r="BP305" i="33"/>
  <c r="CF302" i="33" s="1"/>
  <c r="BP297" i="33"/>
  <c r="CF296" i="33" s="1"/>
  <c r="AS352" i="33"/>
  <c r="AT352" i="33"/>
  <c r="AS353" i="33"/>
  <c r="AT353" i="33"/>
  <c r="AS354" i="33"/>
  <c r="AT354" i="33"/>
  <c r="AS355" i="33"/>
  <c r="AT355" i="33"/>
  <c r="AS356" i="33"/>
  <c r="AT356" i="33"/>
  <c r="AT374" i="33"/>
  <c r="AS374" i="33"/>
  <c r="AS375" i="33"/>
  <c r="AS376" i="33"/>
  <c r="AS377" i="33"/>
  <c r="AT375" i="33"/>
  <c r="AT376" i="33"/>
  <c r="AT377" i="33"/>
  <c r="AT357" i="33"/>
  <c r="AT358" i="33"/>
  <c r="AT359" i="33"/>
  <c r="AT360" i="33"/>
  <c r="AT361" i="33"/>
  <c r="AT362" i="33"/>
  <c r="AT363" i="33"/>
  <c r="AT364" i="33"/>
  <c r="AT365" i="33"/>
  <c r="AT366" i="33"/>
  <c r="AS357" i="33"/>
  <c r="AS358" i="33"/>
  <c r="AS359" i="33"/>
  <c r="AS360" i="33"/>
  <c r="AS361" i="33"/>
  <c r="AS362" i="33"/>
  <c r="AS363" i="33"/>
  <c r="AS364" i="33"/>
  <c r="AS365" i="33"/>
  <c r="AS366" i="33"/>
  <c r="B656" i="33" l="1"/>
  <c r="B651" i="33"/>
  <c r="B655" i="33"/>
  <c r="E676" i="33"/>
  <c r="C660" i="33"/>
  <c r="F652" i="33"/>
  <c r="D652" i="33"/>
  <c r="E671" i="33"/>
  <c r="C655" i="33"/>
  <c r="B660" i="33"/>
  <c r="B676" i="33"/>
  <c r="B671" i="33"/>
  <c r="B667" i="33"/>
  <c r="CF298" i="33"/>
  <c r="C676" i="33"/>
  <c r="F668" i="33"/>
  <c r="D668" i="33"/>
  <c r="E660" i="33"/>
  <c r="C671" i="33"/>
  <c r="F663" i="33"/>
  <c r="D663" i="33"/>
  <c r="E655" i="33"/>
  <c r="CG302" i="33"/>
  <c r="CF301" i="33"/>
  <c r="CF297" i="33"/>
  <c r="CG299" i="33"/>
  <c r="CG301" i="33"/>
  <c r="CG298" i="33"/>
  <c r="B99" i="30" l="1"/>
  <c r="B98" i="30"/>
  <c r="L16" i="30"/>
  <c r="L15" i="30"/>
  <c r="L14" i="30"/>
  <c r="B96" i="30"/>
  <c r="L13" i="30"/>
  <c r="L12" i="30"/>
  <c r="L11" i="30"/>
  <c r="B95" i="30"/>
  <c r="L10" i="30"/>
  <c r="L9" i="30"/>
  <c r="L8" i="30"/>
  <c r="L7" i="30"/>
  <c r="L4" i="30"/>
  <c r="L3" i="30"/>
  <c r="L2" i="30"/>
  <c r="F43" i="30" l="1"/>
  <c r="F10" i="30" s="1"/>
  <c r="F16" i="30"/>
  <c r="F15" i="30"/>
  <c r="F14" i="30"/>
  <c r="F13" i="30"/>
  <c r="F12" i="30"/>
  <c r="F11" i="30"/>
  <c r="F9" i="30"/>
  <c r="F8" i="30"/>
  <c r="F7" i="30"/>
  <c r="F6" i="30"/>
  <c r="F5" i="30"/>
  <c r="F4" i="30"/>
  <c r="F3" i="30"/>
  <c r="F2" i="30"/>
  <c r="AJ478" i="34" l="1"/>
  <c r="AK478" i="34"/>
  <c r="AL478" i="34"/>
  <c r="AJ479" i="34"/>
  <c r="AK479" i="34"/>
  <c r="AL479" i="34"/>
  <c r="AJ480" i="34"/>
  <c r="AK480" i="34"/>
  <c r="AL480" i="34"/>
  <c r="AJ481" i="34"/>
  <c r="AK481" i="34"/>
  <c r="AL481" i="34"/>
  <c r="AJ482" i="34"/>
  <c r="AK482" i="34"/>
  <c r="AL482" i="34"/>
  <c r="AJ483" i="34"/>
  <c r="AK483" i="34"/>
  <c r="AL483" i="34"/>
  <c r="AJ484" i="34"/>
  <c r="AK484" i="34"/>
  <c r="AL484" i="34"/>
  <c r="AJ485" i="34"/>
  <c r="AK485" i="34"/>
  <c r="AL485" i="34"/>
  <c r="AJ486" i="34"/>
  <c r="AK486" i="34"/>
  <c r="AL486" i="34"/>
  <c r="AJ487" i="34"/>
  <c r="AK487" i="34"/>
  <c r="AL487" i="34"/>
  <c r="AJ488" i="34"/>
  <c r="AK488" i="34"/>
  <c r="AL488" i="34"/>
  <c r="AJ489" i="34"/>
  <c r="AK489" i="34"/>
  <c r="AL489" i="34"/>
  <c r="AJ490" i="34"/>
  <c r="AK490" i="34"/>
  <c r="AL490" i="34"/>
  <c r="AJ491" i="34"/>
  <c r="AK491" i="34"/>
  <c r="AL491" i="34"/>
  <c r="AJ492" i="34"/>
  <c r="AK492" i="34"/>
  <c r="AL492" i="34"/>
  <c r="AJ493" i="34"/>
  <c r="AK493" i="34"/>
  <c r="AL493" i="34"/>
  <c r="AJ494" i="34"/>
  <c r="AK494" i="34"/>
  <c r="AL494" i="34"/>
  <c r="AJ495" i="34"/>
  <c r="AK495" i="34"/>
  <c r="AL495" i="34"/>
  <c r="AJ496" i="34"/>
  <c r="AK496" i="34"/>
  <c r="AL496" i="34"/>
  <c r="AK477" i="34"/>
  <c r="AL477" i="34"/>
  <c r="AJ477" i="34"/>
  <c r="AJ458" i="34"/>
  <c r="AK458" i="34"/>
  <c r="AL458" i="34"/>
  <c r="AJ459" i="34"/>
  <c r="AK459" i="34"/>
  <c r="AL459" i="34"/>
  <c r="AJ460" i="34"/>
  <c r="AK460" i="34"/>
  <c r="AL460" i="34"/>
  <c r="AJ461" i="34"/>
  <c r="AK461" i="34"/>
  <c r="AL461" i="34"/>
  <c r="AJ462" i="34"/>
  <c r="AK462" i="34"/>
  <c r="AL462" i="34"/>
  <c r="AJ463" i="34"/>
  <c r="AK463" i="34"/>
  <c r="AL463" i="34"/>
  <c r="AJ464" i="34"/>
  <c r="AK464" i="34"/>
  <c r="AL464" i="34"/>
  <c r="AJ465" i="34"/>
  <c r="AK465" i="34"/>
  <c r="AL465" i="34"/>
  <c r="AJ466" i="34"/>
  <c r="AK466" i="34"/>
  <c r="AL466" i="34"/>
  <c r="AJ467" i="34"/>
  <c r="AK467" i="34"/>
  <c r="AL467" i="34"/>
  <c r="AJ468" i="34"/>
  <c r="AK468" i="34"/>
  <c r="AL468" i="34"/>
  <c r="AJ469" i="34"/>
  <c r="AK469" i="34"/>
  <c r="AL469" i="34"/>
  <c r="AJ470" i="34"/>
  <c r="AK470" i="34"/>
  <c r="AL470" i="34"/>
  <c r="AJ471" i="34"/>
  <c r="AK471" i="34"/>
  <c r="AL471" i="34"/>
  <c r="AJ472" i="34"/>
  <c r="AK472" i="34"/>
  <c r="AL472" i="34"/>
  <c r="AJ473" i="34"/>
  <c r="AK473" i="34"/>
  <c r="AL473" i="34"/>
  <c r="AJ474" i="34"/>
  <c r="AK474" i="34"/>
  <c r="AL474" i="34"/>
  <c r="AJ475" i="34"/>
  <c r="AK475" i="34"/>
  <c r="AL475" i="34"/>
  <c r="AJ476" i="34"/>
  <c r="AK476" i="34"/>
  <c r="AL476" i="34"/>
  <c r="AK457" i="34"/>
  <c r="AL457" i="34"/>
  <c r="AJ457" i="34"/>
  <c r="AJ453" i="34"/>
  <c r="AK453" i="34"/>
  <c r="AL453" i="34"/>
  <c r="AJ454" i="34"/>
  <c r="AK454" i="34"/>
  <c r="AL454" i="34"/>
  <c r="AJ455" i="34"/>
  <c r="AK455" i="34"/>
  <c r="AL455" i="34"/>
  <c r="AJ456" i="34"/>
  <c r="AK456" i="34"/>
  <c r="AL456" i="34"/>
  <c r="AJ438" i="34"/>
  <c r="AK438" i="34"/>
  <c r="AL438" i="34"/>
  <c r="AJ439" i="34"/>
  <c r="AK439" i="34"/>
  <c r="AL439" i="34"/>
  <c r="AJ440" i="34"/>
  <c r="AK440" i="34"/>
  <c r="AL440" i="34"/>
  <c r="AJ441" i="34"/>
  <c r="AK441" i="34"/>
  <c r="AL441" i="34"/>
  <c r="AJ442" i="34"/>
  <c r="AK442" i="34"/>
  <c r="AL442" i="34"/>
  <c r="AJ443" i="34"/>
  <c r="AK443" i="34"/>
  <c r="AL443" i="34"/>
  <c r="AJ444" i="34"/>
  <c r="AK444" i="34"/>
  <c r="AL444" i="34"/>
  <c r="AJ445" i="34"/>
  <c r="AK445" i="34"/>
  <c r="AL445" i="34"/>
  <c r="AJ446" i="34"/>
  <c r="AK446" i="34"/>
  <c r="AL446" i="34"/>
  <c r="AJ447" i="34"/>
  <c r="AK447" i="34"/>
  <c r="AL447" i="34"/>
  <c r="AJ448" i="34"/>
  <c r="AK448" i="34"/>
  <c r="AL448" i="34"/>
  <c r="AJ449" i="34"/>
  <c r="AK449" i="34"/>
  <c r="AL449" i="34"/>
  <c r="AJ450" i="34"/>
  <c r="AK450" i="34"/>
  <c r="AL450" i="34"/>
  <c r="AJ451" i="34"/>
  <c r="AK451" i="34"/>
  <c r="AL451" i="34"/>
  <c r="AJ452" i="34"/>
  <c r="AK452" i="34"/>
  <c r="AL452" i="34"/>
  <c r="AK437" i="34"/>
  <c r="AL437" i="34"/>
  <c r="AJ437" i="34"/>
  <c r="AJ418" i="34"/>
  <c r="AK418" i="34"/>
  <c r="AL418" i="34"/>
  <c r="AJ419" i="34"/>
  <c r="AK419" i="34"/>
  <c r="AL419" i="34"/>
  <c r="AJ420" i="34"/>
  <c r="AK420" i="34"/>
  <c r="AL420" i="34"/>
  <c r="AJ421" i="34"/>
  <c r="AK421" i="34"/>
  <c r="AL421" i="34"/>
  <c r="AJ422" i="34"/>
  <c r="AK422" i="34"/>
  <c r="AL422" i="34"/>
  <c r="AJ423" i="34"/>
  <c r="AK423" i="34"/>
  <c r="AL423" i="34"/>
  <c r="AJ424" i="34"/>
  <c r="AK424" i="34"/>
  <c r="AL424" i="34"/>
  <c r="AJ425" i="34"/>
  <c r="AK425" i="34"/>
  <c r="AL425" i="34"/>
  <c r="AJ426" i="34"/>
  <c r="AK426" i="34"/>
  <c r="AL426" i="34"/>
  <c r="AJ427" i="34"/>
  <c r="AK427" i="34"/>
  <c r="AL427" i="34"/>
  <c r="AJ428" i="34"/>
  <c r="AK428" i="34"/>
  <c r="AL428" i="34"/>
  <c r="AJ429" i="34"/>
  <c r="AK429" i="34"/>
  <c r="AL429" i="34"/>
  <c r="AJ430" i="34"/>
  <c r="AK430" i="34"/>
  <c r="AL430" i="34"/>
  <c r="AJ431" i="34"/>
  <c r="AK431" i="34"/>
  <c r="AL431" i="34"/>
  <c r="AJ432" i="34"/>
  <c r="AK432" i="34"/>
  <c r="AL432" i="34"/>
  <c r="AJ433" i="34"/>
  <c r="AK433" i="34"/>
  <c r="AL433" i="34"/>
  <c r="AJ434" i="34"/>
  <c r="AK434" i="34"/>
  <c r="AL434" i="34"/>
  <c r="AJ435" i="34"/>
  <c r="AK435" i="34"/>
  <c r="AL435" i="34"/>
  <c r="AJ436" i="34"/>
  <c r="AK436" i="34"/>
  <c r="AL436" i="34"/>
  <c r="AK417" i="34"/>
  <c r="AL417" i="34"/>
  <c r="AJ417" i="34"/>
  <c r="AJ398" i="34"/>
  <c r="AK398" i="34"/>
  <c r="AL398" i="34"/>
  <c r="AJ399" i="34"/>
  <c r="AK399" i="34"/>
  <c r="AL399" i="34"/>
  <c r="AJ400" i="34"/>
  <c r="AK400" i="34"/>
  <c r="AL400" i="34"/>
  <c r="AJ401" i="34"/>
  <c r="AK401" i="34"/>
  <c r="AL401" i="34"/>
  <c r="AJ402" i="34"/>
  <c r="AK402" i="34"/>
  <c r="AL402" i="34"/>
  <c r="AJ403" i="34"/>
  <c r="AK403" i="34"/>
  <c r="AL403" i="34"/>
  <c r="AJ404" i="34"/>
  <c r="AK404" i="34"/>
  <c r="AL404" i="34"/>
  <c r="AJ405" i="34"/>
  <c r="AK405" i="34"/>
  <c r="AL405" i="34"/>
  <c r="AJ406" i="34"/>
  <c r="AK406" i="34"/>
  <c r="AL406" i="34"/>
  <c r="AJ407" i="34"/>
  <c r="AK407" i="34"/>
  <c r="AL407" i="34"/>
  <c r="AJ408" i="34"/>
  <c r="AK408" i="34"/>
  <c r="AL408" i="34"/>
  <c r="AJ409" i="34"/>
  <c r="AK409" i="34"/>
  <c r="AL409" i="34"/>
  <c r="AJ410" i="34"/>
  <c r="AK410" i="34"/>
  <c r="AL410" i="34"/>
  <c r="AJ411" i="34"/>
  <c r="AK411" i="34"/>
  <c r="AL411" i="34"/>
  <c r="AJ412" i="34"/>
  <c r="AK412" i="34"/>
  <c r="AL412" i="34"/>
  <c r="AJ413" i="34"/>
  <c r="AK413" i="34"/>
  <c r="AL413" i="34"/>
  <c r="AJ414" i="34"/>
  <c r="AK414" i="34"/>
  <c r="AL414" i="34"/>
  <c r="AJ415" i="34"/>
  <c r="AK415" i="34"/>
  <c r="AL415" i="34"/>
  <c r="AJ416" i="34"/>
  <c r="AK416" i="34"/>
  <c r="AL416" i="34"/>
  <c r="AK397" i="34"/>
  <c r="AL397" i="34"/>
  <c r="AJ397" i="34"/>
  <c r="AJ378" i="34"/>
  <c r="AK378" i="34"/>
  <c r="AL378" i="34"/>
  <c r="AJ379" i="34"/>
  <c r="AK379" i="34"/>
  <c r="AL379" i="34"/>
  <c r="AJ380" i="34"/>
  <c r="AK380" i="34"/>
  <c r="AL380" i="34"/>
  <c r="AJ381" i="34"/>
  <c r="AK381" i="34"/>
  <c r="AL381" i="34"/>
  <c r="AJ382" i="34"/>
  <c r="AK382" i="34"/>
  <c r="AL382" i="34"/>
  <c r="AJ383" i="34"/>
  <c r="AK383" i="34"/>
  <c r="AL383" i="34"/>
  <c r="AJ384" i="34"/>
  <c r="AK384" i="34"/>
  <c r="AL384" i="34"/>
  <c r="AJ385" i="34"/>
  <c r="AK385" i="34"/>
  <c r="AL385" i="34"/>
  <c r="AJ386" i="34"/>
  <c r="AK386" i="34"/>
  <c r="AL386" i="34"/>
  <c r="AJ387" i="34"/>
  <c r="AK387" i="34"/>
  <c r="AL387" i="34"/>
  <c r="AJ388" i="34"/>
  <c r="AK388" i="34"/>
  <c r="AL388" i="34"/>
  <c r="AJ389" i="34"/>
  <c r="AK389" i="34"/>
  <c r="AL389" i="34"/>
  <c r="AJ390" i="34"/>
  <c r="AK390" i="34"/>
  <c r="AL390" i="34"/>
  <c r="AJ391" i="34"/>
  <c r="AK391" i="34"/>
  <c r="AL391" i="34"/>
  <c r="AJ392" i="34"/>
  <c r="AK392" i="34"/>
  <c r="AL392" i="34"/>
  <c r="AJ393" i="34"/>
  <c r="AK393" i="34"/>
  <c r="AL393" i="34"/>
  <c r="AJ394" i="34"/>
  <c r="AK394" i="34"/>
  <c r="AL394" i="34"/>
  <c r="AJ395" i="34"/>
  <c r="AK395" i="34"/>
  <c r="AL395" i="34"/>
  <c r="AJ396" i="34"/>
  <c r="AK396" i="34"/>
  <c r="AL396" i="34"/>
  <c r="AK377" i="34"/>
  <c r="AL377" i="34"/>
  <c r="AJ377" i="34"/>
  <c r="AJ358" i="34"/>
  <c r="AK358" i="34"/>
  <c r="AL358" i="34"/>
  <c r="AJ359" i="34"/>
  <c r="AK359" i="34"/>
  <c r="AL359" i="34"/>
  <c r="AJ360" i="34"/>
  <c r="AK360" i="34"/>
  <c r="AL360" i="34"/>
  <c r="AJ361" i="34"/>
  <c r="AK361" i="34"/>
  <c r="AL361" i="34"/>
  <c r="AJ362" i="34"/>
  <c r="AK362" i="34"/>
  <c r="AL362" i="34"/>
  <c r="AJ363" i="34"/>
  <c r="AK363" i="34"/>
  <c r="AL363" i="34"/>
  <c r="AJ364" i="34"/>
  <c r="AK364" i="34"/>
  <c r="AL364" i="34"/>
  <c r="AJ365" i="34"/>
  <c r="AK365" i="34"/>
  <c r="AL365" i="34"/>
  <c r="AJ366" i="34"/>
  <c r="AK366" i="34"/>
  <c r="AL366" i="34"/>
  <c r="AJ367" i="34"/>
  <c r="AK367" i="34"/>
  <c r="AL367" i="34"/>
  <c r="AJ368" i="34"/>
  <c r="AK368" i="34"/>
  <c r="AL368" i="34"/>
  <c r="AJ369" i="34"/>
  <c r="AK369" i="34"/>
  <c r="AL369" i="34"/>
  <c r="AJ370" i="34"/>
  <c r="AK370" i="34"/>
  <c r="AL370" i="34"/>
  <c r="AJ371" i="34"/>
  <c r="AK371" i="34"/>
  <c r="AL371" i="34"/>
  <c r="AJ372" i="34"/>
  <c r="AK372" i="34"/>
  <c r="AL372" i="34"/>
  <c r="AJ373" i="34"/>
  <c r="AK373" i="34"/>
  <c r="AL373" i="34"/>
  <c r="AJ374" i="34"/>
  <c r="AK374" i="34"/>
  <c r="AL374" i="34"/>
  <c r="AJ375" i="34"/>
  <c r="AK375" i="34"/>
  <c r="AL375" i="34"/>
  <c r="AJ376" i="34"/>
  <c r="AK376" i="34"/>
  <c r="AL376" i="34"/>
  <c r="AK357" i="34"/>
  <c r="AL357" i="34"/>
  <c r="AJ357" i="34"/>
  <c r="AJ350" i="34"/>
  <c r="AK350" i="34"/>
  <c r="AL350" i="34"/>
  <c r="AJ351" i="34"/>
  <c r="AK351" i="34"/>
  <c r="AL351" i="34"/>
  <c r="AJ352" i="34"/>
  <c r="AK352" i="34"/>
  <c r="AL352" i="34"/>
  <c r="AJ353" i="34"/>
  <c r="AK353" i="34"/>
  <c r="AL353" i="34"/>
  <c r="AJ354" i="34"/>
  <c r="AK354" i="34"/>
  <c r="AL354" i="34"/>
  <c r="AJ355" i="34"/>
  <c r="AK355" i="34"/>
  <c r="AL355" i="34"/>
  <c r="AJ356" i="34"/>
  <c r="AK356" i="34"/>
  <c r="AL356" i="34"/>
  <c r="AJ338" i="34"/>
  <c r="AK338" i="34"/>
  <c r="AL338" i="34"/>
  <c r="AJ339" i="34"/>
  <c r="AK339" i="34"/>
  <c r="AL339" i="34"/>
  <c r="AJ340" i="34"/>
  <c r="AK340" i="34"/>
  <c r="AL340" i="34"/>
  <c r="AJ341" i="34"/>
  <c r="AK341" i="34"/>
  <c r="AL341" i="34"/>
  <c r="AJ342" i="34"/>
  <c r="AK342" i="34"/>
  <c r="AL342" i="34"/>
  <c r="AJ343" i="34"/>
  <c r="AK343" i="34"/>
  <c r="AL343" i="34"/>
  <c r="AJ344" i="34"/>
  <c r="AK344" i="34"/>
  <c r="AL344" i="34"/>
  <c r="AJ345" i="34"/>
  <c r="AK345" i="34"/>
  <c r="AL345" i="34"/>
  <c r="AJ346" i="34"/>
  <c r="AK346" i="34"/>
  <c r="AL346" i="34"/>
  <c r="AJ347" i="34"/>
  <c r="AK347" i="34"/>
  <c r="AL347" i="34"/>
  <c r="AJ348" i="34"/>
  <c r="AK348" i="34"/>
  <c r="AL348" i="34"/>
  <c r="AJ349" i="34"/>
  <c r="AK349" i="34"/>
  <c r="AL349" i="34"/>
  <c r="AK337" i="34"/>
  <c r="AL337" i="34"/>
  <c r="AJ337" i="34"/>
  <c r="AJ336" i="34"/>
  <c r="AK336" i="34"/>
  <c r="AL336" i="34"/>
  <c r="AJ334" i="34"/>
  <c r="AK334" i="34"/>
  <c r="AL334" i="34"/>
  <c r="AJ335" i="34"/>
  <c r="AK335" i="34"/>
  <c r="AL335" i="34"/>
  <c r="AJ327" i="34"/>
  <c r="AK327" i="34"/>
  <c r="AL327" i="34"/>
  <c r="AJ328" i="34"/>
  <c r="AK328" i="34"/>
  <c r="AL328" i="34"/>
  <c r="AJ329" i="34"/>
  <c r="AK329" i="34"/>
  <c r="AL329" i="34"/>
  <c r="AJ330" i="34"/>
  <c r="AK330" i="34"/>
  <c r="AL330" i="34"/>
  <c r="AJ331" i="34"/>
  <c r="AK331" i="34"/>
  <c r="AL331" i="34"/>
  <c r="AJ332" i="34"/>
  <c r="AK332" i="34"/>
  <c r="AL332" i="34"/>
  <c r="AJ333" i="34"/>
  <c r="AK333" i="34"/>
  <c r="AL333" i="34"/>
  <c r="AJ318" i="34"/>
  <c r="AK318" i="34"/>
  <c r="AL318" i="34"/>
  <c r="AJ319" i="34"/>
  <c r="AK319" i="34"/>
  <c r="AL319" i="34"/>
  <c r="AJ320" i="34"/>
  <c r="AK320" i="34"/>
  <c r="AL320" i="34"/>
  <c r="AJ321" i="34"/>
  <c r="AK321" i="34"/>
  <c r="AL321" i="34"/>
  <c r="AJ322" i="34"/>
  <c r="AK322" i="34"/>
  <c r="AL322" i="34"/>
  <c r="AJ323" i="34"/>
  <c r="AK323" i="34"/>
  <c r="AL323" i="34"/>
  <c r="AJ324" i="34"/>
  <c r="AK324" i="34"/>
  <c r="AL324" i="34"/>
  <c r="AJ325" i="34"/>
  <c r="AK325" i="34"/>
  <c r="AL325" i="34"/>
  <c r="AJ326" i="34"/>
  <c r="AK326" i="34"/>
  <c r="AL326" i="34"/>
  <c r="AK317" i="34"/>
  <c r="AL317" i="34"/>
  <c r="AJ317" i="34"/>
  <c r="AJ298" i="34"/>
  <c r="AK298" i="34"/>
  <c r="AL298" i="34"/>
  <c r="AJ299" i="34"/>
  <c r="AK299" i="34"/>
  <c r="AL299" i="34"/>
  <c r="AJ300" i="34"/>
  <c r="AK300" i="34"/>
  <c r="AL300" i="34"/>
  <c r="AJ301" i="34"/>
  <c r="AK301" i="34"/>
  <c r="AL301" i="34"/>
  <c r="AJ302" i="34"/>
  <c r="AK302" i="34"/>
  <c r="AL302" i="34"/>
  <c r="AJ303" i="34"/>
  <c r="AK303" i="34"/>
  <c r="AL303" i="34"/>
  <c r="AJ304" i="34"/>
  <c r="AK304" i="34"/>
  <c r="AL304" i="34"/>
  <c r="AJ305" i="34"/>
  <c r="AK305" i="34"/>
  <c r="AL305" i="34"/>
  <c r="AJ306" i="34"/>
  <c r="AK306" i="34"/>
  <c r="AL306" i="34"/>
  <c r="AJ307" i="34"/>
  <c r="AK307" i="34"/>
  <c r="AL307" i="34"/>
  <c r="AJ308" i="34"/>
  <c r="AK308" i="34"/>
  <c r="AL308" i="34"/>
  <c r="AJ309" i="34"/>
  <c r="AK309" i="34"/>
  <c r="AL309" i="34"/>
  <c r="AJ310" i="34"/>
  <c r="AK310" i="34"/>
  <c r="AL310" i="34"/>
  <c r="AJ311" i="34"/>
  <c r="AK311" i="34"/>
  <c r="AL311" i="34"/>
  <c r="AJ312" i="34"/>
  <c r="AK312" i="34"/>
  <c r="AL312" i="34"/>
  <c r="AJ313" i="34"/>
  <c r="AK313" i="34"/>
  <c r="AL313" i="34"/>
  <c r="AJ314" i="34"/>
  <c r="AK314" i="34"/>
  <c r="AL314" i="34"/>
  <c r="AJ315" i="34"/>
  <c r="AK315" i="34"/>
  <c r="AL315" i="34"/>
  <c r="AJ316" i="34"/>
  <c r="AK316" i="34"/>
  <c r="AL316" i="34"/>
  <c r="AK297" i="34"/>
  <c r="AL297" i="34"/>
  <c r="AJ297" i="34"/>
  <c r="AJ278" i="34"/>
  <c r="AK278" i="34"/>
  <c r="AL278" i="34"/>
  <c r="AJ279" i="34"/>
  <c r="AK279" i="34"/>
  <c r="AL279" i="34"/>
  <c r="AJ280" i="34"/>
  <c r="AK280" i="34"/>
  <c r="AL280" i="34"/>
  <c r="AJ281" i="34"/>
  <c r="AK281" i="34"/>
  <c r="AL281" i="34"/>
  <c r="AJ282" i="34"/>
  <c r="AK282" i="34"/>
  <c r="AL282" i="34"/>
  <c r="AJ283" i="34"/>
  <c r="AK283" i="34"/>
  <c r="AL283" i="34"/>
  <c r="AJ284" i="34"/>
  <c r="AK284" i="34"/>
  <c r="AL284" i="34"/>
  <c r="AJ285" i="34"/>
  <c r="AK285" i="34"/>
  <c r="AL285" i="34"/>
  <c r="AJ286" i="34"/>
  <c r="AK286" i="34"/>
  <c r="AL286" i="34"/>
  <c r="AJ287" i="34"/>
  <c r="AK287" i="34"/>
  <c r="AL287" i="34"/>
  <c r="AJ288" i="34"/>
  <c r="AK288" i="34"/>
  <c r="AL288" i="34"/>
  <c r="AJ289" i="34"/>
  <c r="AK289" i="34"/>
  <c r="AL289" i="34"/>
  <c r="AJ290" i="34"/>
  <c r="AK290" i="34"/>
  <c r="AL290" i="34"/>
  <c r="AJ291" i="34"/>
  <c r="AK291" i="34"/>
  <c r="AL291" i="34"/>
  <c r="AJ292" i="34"/>
  <c r="AK292" i="34"/>
  <c r="AL292" i="34"/>
  <c r="AJ293" i="34"/>
  <c r="AK293" i="34"/>
  <c r="AL293" i="34"/>
  <c r="AJ294" i="34"/>
  <c r="AK294" i="34"/>
  <c r="AL294" i="34"/>
  <c r="AJ295" i="34"/>
  <c r="AK295" i="34"/>
  <c r="AL295" i="34"/>
  <c r="AJ296" i="34"/>
  <c r="AK296" i="34"/>
  <c r="AL296" i="34"/>
  <c r="AL277" i="34"/>
  <c r="AK277" i="34"/>
  <c r="AJ277" i="34"/>
  <c r="AJ257" i="34"/>
  <c r="AJ258" i="34"/>
  <c r="AJ259" i="34"/>
  <c r="AJ260" i="34"/>
  <c r="AJ261" i="34"/>
  <c r="AJ262" i="34"/>
  <c r="AJ263" i="34"/>
  <c r="AJ254" i="34"/>
  <c r="AJ255" i="34"/>
  <c r="AJ256" i="34"/>
  <c r="AK258" i="34"/>
  <c r="AL258" i="34"/>
  <c r="AK259" i="34"/>
  <c r="AL259" i="34"/>
  <c r="AK260" i="34"/>
  <c r="AL260" i="34"/>
  <c r="AK261" i="34"/>
  <c r="AL261" i="34"/>
  <c r="AK262" i="34"/>
  <c r="AL262" i="34"/>
  <c r="AK263" i="34"/>
  <c r="AL263" i="34"/>
  <c r="AJ264" i="34"/>
  <c r="AK264" i="34"/>
  <c r="AL264" i="34"/>
  <c r="AJ265" i="34"/>
  <c r="AK265" i="34"/>
  <c r="AL265" i="34"/>
  <c r="AJ266" i="34"/>
  <c r="AK266" i="34"/>
  <c r="AL266" i="34"/>
  <c r="AJ267" i="34"/>
  <c r="AK267" i="34"/>
  <c r="AL267" i="34"/>
  <c r="AJ268" i="34"/>
  <c r="AK268" i="34"/>
  <c r="AL268" i="34"/>
  <c r="AJ269" i="34"/>
  <c r="AK269" i="34"/>
  <c r="AL269" i="34"/>
  <c r="AJ270" i="34"/>
  <c r="AK270" i="34"/>
  <c r="AL270" i="34"/>
  <c r="AJ271" i="34"/>
  <c r="AK271" i="34"/>
  <c r="AL271" i="34"/>
  <c r="AJ272" i="34"/>
  <c r="AK272" i="34"/>
  <c r="AL272" i="34"/>
  <c r="AJ273" i="34"/>
  <c r="AK273" i="34"/>
  <c r="AL273" i="34"/>
  <c r="AJ274" i="34"/>
  <c r="AK274" i="34"/>
  <c r="AL274" i="34"/>
  <c r="AJ275" i="34"/>
  <c r="AK275" i="34"/>
  <c r="AL275" i="34"/>
  <c r="AJ276" i="34"/>
  <c r="AK276" i="34"/>
  <c r="AL276" i="34"/>
  <c r="AL257" i="34"/>
  <c r="AK257" i="34"/>
  <c r="AK254" i="34"/>
  <c r="AL254" i="34"/>
  <c r="AK255" i="34"/>
  <c r="AL255" i="34"/>
  <c r="AK256" i="34"/>
  <c r="AL256" i="34"/>
  <c r="AJ238" i="34"/>
  <c r="AK238" i="34"/>
  <c r="AL238" i="34"/>
  <c r="AJ239" i="34"/>
  <c r="AK239" i="34"/>
  <c r="AL239" i="34"/>
  <c r="AJ240" i="34"/>
  <c r="AK240" i="34"/>
  <c r="AL240" i="34"/>
  <c r="AJ241" i="34"/>
  <c r="AK241" i="34"/>
  <c r="AL241" i="34"/>
  <c r="AJ242" i="34"/>
  <c r="AK242" i="34"/>
  <c r="AL242" i="34"/>
  <c r="AJ243" i="34"/>
  <c r="AK243" i="34"/>
  <c r="AL243" i="34"/>
  <c r="AJ244" i="34"/>
  <c r="AK244" i="34"/>
  <c r="AL244" i="34"/>
  <c r="AJ245" i="34"/>
  <c r="AK245" i="34"/>
  <c r="AL245" i="34"/>
  <c r="AJ246" i="34"/>
  <c r="AK246" i="34"/>
  <c r="AL246" i="34"/>
  <c r="AJ247" i="34"/>
  <c r="AK247" i="34"/>
  <c r="AL247" i="34"/>
  <c r="AJ248" i="34"/>
  <c r="AK248" i="34"/>
  <c r="AL248" i="34"/>
  <c r="AJ249" i="34"/>
  <c r="AK249" i="34"/>
  <c r="AL249" i="34"/>
  <c r="AJ250" i="34"/>
  <c r="AK250" i="34"/>
  <c r="AL250" i="34"/>
  <c r="AJ251" i="34"/>
  <c r="AK251" i="34"/>
  <c r="AL251" i="34"/>
  <c r="AJ252" i="34"/>
  <c r="AK252" i="34"/>
  <c r="AL252" i="34"/>
  <c r="AJ253" i="34"/>
  <c r="AK253" i="34"/>
  <c r="AL253" i="34"/>
  <c r="AL237" i="34"/>
  <c r="AK237" i="34"/>
  <c r="AJ237" i="34"/>
  <c r="AJ235" i="34"/>
  <c r="AK235" i="34"/>
  <c r="AL235" i="34"/>
  <c r="AJ236" i="34"/>
  <c r="AK236" i="34"/>
  <c r="AL236" i="34"/>
  <c r="AJ218" i="34"/>
  <c r="AK218" i="34"/>
  <c r="AL218" i="34"/>
  <c r="AJ219" i="34"/>
  <c r="AK219" i="34"/>
  <c r="AL219" i="34"/>
  <c r="AJ220" i="34"/>
  <c r="AK220" i="34"/>
  <c r="AL220" i="34"/>
  <c r="AJ221" i="34"/>
  <c r="AK221" i="34"/>
  <c r="AL221" i="34"/>
  <c r="AJ222" i="34"/>
  <c r="AK222" i="34"/>
  <c r="AL222" i="34"/>
  <c r="AJ223" i="34"/>
  <c r="AK223" i="34"/>
  <c r="AL223" i="34"/>
  <c r="AJ224" i="34"/>
  <c r="AK224" i="34"/>
  <c r="AL224" i="34"/>
  <c r="AJ225" i="34"/>
  <c r="AK225" i="34"/>
  <c r="AL225" i="34"/>
  <c r="AJ226" i="34"/>
  <c r="AK226" i="34"/>
  <c r="AL226" i="34"/>
  <c r="AJ227" i="34"/>
  <c r="AK227" i="34"/>
  <c r="AL227" i="34"/>
  <c r="AJ228" i="34"/>
  <c r="AK228" i="34"/>
  <c r="AL228" i="34"/>
  <c r="AJ229" i="34"/>
  <c r="AK229" i="34"/>
  <c r="AL229" i="34"/>
  <c r="AJ230" i="34"/>
  <c r="AK230" i="34"/>
  <c r="AL230" i="34"/>
  <c r="AJ231" i="34"/>
  <c r="AK231" i="34"/>
  <c r="AL231" i="34"/>
  <c r="AJ232" i="34"/>
  <c r="AK232" i="34"/>
  <c r="AL232" i="34"/>
  <c r="AJ233" i="34"/>
  <c r="AK233" i="34"/>
  <c r="AL233" i="34"/>
  <c r="AJ234" i="34"/>
  <c r="AK234" i="34"/>
  <c r="AL234" i="34"/>
  <c r="AL217" i="34"/>
  <c r="AK217" i="34"/>
  <c r="AJ217" i="34"/>
  <c r="AJ215" i="34"/>
  <c r="AK215" i="34"/>
  <c r="AL215" i="34"/>
  <c r="AJ216" i="34"/>
  <c r="AK216" i="34"/>
  <c r="AL216" i="34"/>
  <c r="AJ198" i="34"/>
  <c r="AK198" i="34"/>
  <c r="AL198" i="34"/>
  <c r="AJ199" i="34"/>
  <c r="AK199" i="34"/>
  <c r="AL199" i="34"/>
  <c r="AJ200" i="34"/>
  <c r="AK200" i="34"/>
  <c r="AL200" i="34"/>
  <c r="AJ201" i="34"/>
  <c r="AK201" i="34"/>
  <c r="AL201" i="34"/>
  <c r="AJ202" i="34"/>
  <c r="AK202" i="34"/>
  <c r="AL202" i="34"/>
  <c r="AJ203" i="34"/>
  <c r="AK203" i="34"/>
  <c r="AL203" i="34"/>
  <c r="AJ204" i="34"/>
  <c r="AK204" i="34"/>
  <c r="AL204" i="34"/>
  <c r="AJ205" i="34"/>
  <c r="AK205" i="34"/>
  <c r="AL205" i="34"/>
  <c r="AJ206" i="34"/>
  <c r="AK206" i="34"/>
  <c r="AL206" i="34"/>
  <c r="AJ207" i="34"/>
  <c r="AK207" i="34"/>
  <c r="AL207" i="34"/>
  <c r="AJ208" i="34"/>
  <c r="AK208" i="34"/>
  <c r="AL208" i="34"/>
  <c r="AJ209" i="34"/>
  <c r="AK209" i="34"/>
  <c r="AL209" i="34"/>
  <c r="AJ210" i="34"/>
  <c r="AK210" i="34"/>
  <c r="AL210" i="34"/>
  <c r="AJ211" i="34"/>
  <c r="AK211" i="34"/>
  <c r="AL211" i="34"/>
  <c r="AJ212" i="34"/>
  <c r="AK212" i="34"/>
  <c r="AL212" i="34"/>
  <c r="AJ213" i="34"/>
  <c r="AK213" i="34"/>
  <c r="AL213" i="34"/>
  <c r="AJ214" i="34"/>
  <c r="AK214" i="34"/>
  <c r="AL214" i="34"/>
  <c r="AJ197" i="34"/>
  <c r="AL197" i="34"/>
  <c r="AK197" i="34"/>
  <c r="AJ178" i="34"/>
  <c r="AK178" i="34"/>
  <c r="AL178" i="34"/>
  <c r="AJ179" i="34"/>
  <c r="AK179" i="34"/>
  <c r="AL179" i="34"/>
  <c r="AJ180" i="34"/>
  <c r="AK180" i="34"/>
  <c r="AL180" i="34"/>
  <c r="AJ181" i="34"/>
  <c r="AK181" i="34"/>
  <c r="AL181" i="34"/>
  <c r="AJ182" i="34"/>
  <c r="AK182" i="34"/>
  <c r="AL182" i="34"/>
  <c r="AJ183" i="34"/>
  <c r="AK183" i="34"/>
  <c r="AL183" i="34"/>
  <c r="AJ184" i="34"/>
  <c r="AK184" i="34"/>
  <c r="AL184" i="34"/>
  <c r="AJ185" i="34"/>
  <c r="AK185" i="34"/>
  <c r="AL185" i="34"/>
  <c r="AJ186" i="34"/>
  <c r="AK186" i="34"/>
  <c r="AL186" i="34"/>
  <c r="AJ187" i="34"/>
  <c r="AK187" i="34"/>
  <c r="AL187" i="34"/>
  <c r="AJ188" i="34"/>
  <c r="AK188" i="34"/>
  <c r="AL188" i="34"/>
  <c r="AJ189" i="34"/>
  <c r="AK189" i="34"/>
  <c r="AL189" i="34"/>
  <c r="AJ190" i="34"/>
  <c r="AK190" i="34"/>
  <c r="AL190" i="34"/>
  <c r="AJ191" i="34"/>
  <c r="AK191" i="34"/>
  <c r="AL191" i="34"/>
  <c r="AJ192" i="34"/>
  <c r="AK192" i="34"/>
  <c r="AL192" i="34"/>
  <c r="AJ193" i="34"/>
  <c r="AK193" i="34"/>
  <c r="AL193" i="34"/>
  <c r="AJ194" i="34"/>
  <c r="AK194" i="34"/>
  <c r="AL194" i="34"/>
  <c r="AJ195" i="34"/>
  <c r="AK195" i="34"/>
  <c r="AL195" i="34"/>
  <c r="AJ196" i="34"/>
  <c r="AK196" i="34"/>
  <c r="AL196" i="34"/>
  <c r="AL177" i="34"/>
  <c r="AK177" i="34"/>
  <c r="AJ177" i="34"/>
  <c r="AJ158" i="34"/>
  <c r="AK158" i="34"/>
  <c r="AL158" i="34"/>
  <c r="AJ159" i="34"/>
  <c r="AK159" i="34"/>
  <c r="AL159" i="34"/>
  <c r="AJ160" i="34"/>
  <c r="AK160" i="34"/>
  <c r="AL160" i="34"/>
  <c r="AJ161" i="34"/>
  <c r="AK161" i="34"/>
  <c r="AL161" i="34"/>
  <c r="AJ162" i="34"/>
  <c r="AK162" i="34"/>
  <c r="AL162" i="34"/>
  <c r="AJ163" i="34"/>
  <c r="AK163" i="34"/>
  <c r="AL163" i="34"/>
  <c r="AJ164" i="34"/>
  <c r="AK164" i="34"/>
  <c r="AL164" i="34"/>
  <c r="AJ165" i="34"/>
  <c r="AK165" i="34"/>
  <c r="AL165" i="34"/>
  <c r="AJ166" i="34"/>
  <c r="AK166" i="34"/>
  <c r="AL166" i="34"/>
  <c r="AJ167" i="34"/>
  <c r="AK167" i="34"/>
  <c r="AL167" i="34"/>
  <c r="AJ168" i="34"/>
  <c r="AK168" i="34"/>
  <c r="AL168" i="34"/>
  <c r="AJ169" i="34"/>
  <c r="AK169" i="34"/>
  <c r="AL169" i="34"/>
  <c r="AJ170" i="34"/>
  <c r="AK170" i="34"/>
  <c r="AL170" i="34"/>
  <c r="AJ171" i="34"/>
  <c r="AK171" i="34"/>
  <c r="AL171" i="34"/>
  <c r="AJ172" i="34"/>
  <c r="AK172" i="34"/>
  <c r="AL172" i="34"/>
  <c r="AJ173" i="34"/>
  <c r="AK173" i="34"/>
  <c r="AL173" i="34"/>
  <c r="AJ174" i="34"/>
  <c r="AK174" i="34"/>
  <c r="AL174" i="34"/>
  <c r="AJ175" i="34"/>
  <c r="AK175" i="34"/>
  <c r="AL175" i="34"/>
  <c r="AJ176" i="34"/>
  <c r="AK176" i="34"/>
  <c r="AL176" i="34"/>
  <c r="AL157" i="34"/>
  <c r="AK157" i="34"/>
  <c r="AJ157" i="34"/>
  <c r="AJ138" i="34"/>
  <c r="AK138" i="34"/>
  <c r="AL138" i="34"/>
  <c r="AJ139" i="34"/>
  <c r="AK139" i="34"/>
  <c r="AL139" i="34"/>
  <c r="AJ140" i="34"/>
  <c r="AK140" i="34"/>
  <c r="AL140" i="34"/>
  <c r="AJ141" i="34"/>
  <c r="AK141" i="34"/>
  <c r="AL141" i="34"/>
  <c r="AJ142" i="34"/>
  <c r="AK142" i="34"/>
  <c r="AL142" i="34"/>
  <c r="AJ143" i="34"/>
  <c r="AK143" i="34"/>
  <c r="AL143" i="34"/>
  <c r="AJ144" i="34"/>
  <c r="AK144" i="34"/>
  <c r="AL144" i="34"/>
  <c r="AJ145" i="34"/>
  <c r="AK145" i="34"/>
  <c r="AL145" i="34"/>
  <c r="AJ146" i="34"/>
  <c r="AK146" i="34"/>
  <c r="AL146" i="34"/>
  <c r="AJ147" i="34"/>
  <c r="AK147" i="34"/>
  <c r="AL147" i="34"/>
  <c r="AJ148" i="34"/>
  <c r="AK148" i="34"/>
  <c r="AL148" i="34"/>
  <c r="AJ149" i="34"/>
  <c r="AK149" i="34"/>
  <c r="AL149" i="34"/>
  <c r="AJ150" i="34"/>
  <c r="AK150" i="34"/>
  <c r="AL150" i="34"/>
  <c r="AJ151" i="34"/>
  <c r="AK151" i="34"/>
  <c r="AL151" i="34"/>
  <c r="AJ152" i="34"/>
  <c r="AK152" i="34"/>
  <c r="AL152" i="34"/>
  <c r="AJ153" i="34"/>
  <c r="AK153" i="34"/>
  <c r="AL153" i="34"/>
  <c r="AJ154" i="34"/>
  <c r="AK154" i="34"/>
  <c r="AL154" i="34"/>
  <c r="AJ155" i="34"/>
  <c r="AK155" i="34"/>
  <c r="AL155" i="34"/>
  <c r="AJ156" i="34"/>
  <c r="AK156" i="34"/>
  <c r="AL156" i="34"/>
  <c r="AL137" i="34"/>
  <c r="AK137" i="34"/>
  <c r="AJ137" i="34"/>
  <c r="AJ123" i="34"/>
  <c r="AK123" i="34"/>
  <c r="AL123" i="34"/>
  <c r="AJ124" i="34"/>
  <c r="AK124" i="34"/>
  <c r="AL124" i="34"/>
  <c r="AJ125" i="34"/>
  <c r="AK125" i="34"/>
  <c r="AL125" i="34"/>
  <c r="AJ126" i="34"/>
  <c r="AK126" i="34"/>
  <c r="AL126" i="34"/>
  <c r="AJ127" i="34"/>
  <c r="AK127" i="34"/>
  <c r="AL127" i="34"/>
  <c r="AJ128" i="34"/>
  <c r="AK128" i="34"/>
  <c r="AL128" i="34"/>
  <c r="AJ129" i="34"/>
  <c r="AK129" i="34"/>
  <c r="AL129" i="34"/>
  <c r="AJ130" i="34"/>
  <c r="AK130" i="34"/>
  <c r="AL130" i="34"/>
  <c r="AJ131" i="34"/>
  <c r="AK131" i="34"/>
  <c r="AL131" i="34"/>
  <c r="AJ132" i="34"/>
  <c r="AK132" i="34"/>
  <c r="AL132" i="34"/>
  <c r="AJ133" i="34"/>
  <c r="AK133" i="34"/>
  <c r="AL133" i="34"/>
  <c r="AJ134" i="34"/>
  <c r="AK134" i="34"/>
  <c r="AL134" i="34"/>
  <c r="AJ135" i="34"/>
  <c r="AK135" i="34"/>
  <c r="AL135" i="34"/>
  <c r="AJ136" i="34"/>
  <c r="AK136" i="34"/>
  <c r="AL136" i="34"/>
  <c r="AL122" i="34"/>
  <c r="AK122" i="34"/>
  <c r="AJ122" i="34"/>
  <c r="AJ108" i="34"/>
  <c r="AK108" i="34"/>
  <c r="AL108" i="34"/>
  <c r="AJ109" i="34"/>
  <c r="AK109" i="34"/>
  <c r="AL109" i="34"/>
  <c r="AJ110" i="34"/>
  <c r="AK110" i="34"/>
  <c r="AL110" i="34"/>
  <c r="AJ111" i="34"/>
  <c r="AK111" i="34"/>
  <c r="AL111" i="34"/>
  <c r="AJ112" i="34"/>
  <c r="AK112" i="34"/>
  <c r="AL112" i="34"/>
  <c r="AJ113" i="34"/>
  <c r="AK113" i="34"/>
  <c r="AL113" i="34"/>
  <c r="AJ114" i="34"/>
  <c r="AK114" i="34"/>
  <c r="AL114" i="34"/>
  <c r="AJ115" i="34"/>
  <c r="AK115" i="34"/>
  <c r="AL115" i="34"/>
  <c r="AJ116" i="34"/>
  <c r="AK116" i="34"/>
  <c r="AL116" i="34"/>
  <c r="AJ117" i="34"/>
  <c r="AK117" i="34"/>
  <c r="AL117" i="34"/>
  <c r="AJ118" i="34"/>
  <c r="AK118" i="34"/>
  <c r="AL118" i="34"/>
  <c r="AJ119" i="34"/>
  <c r="AK119" i="34"/>
  <c r="AL119" i="34"/>
  <c r="AJ120" i="34"/>
  <c r="AK120" i="34"/>
  <c r="AL120" i="34"/>
  <c r="AJ121" i="34"/>
  <c r="AK121" i="34"/>
  <c r="AL121" i="34"/>
  <c r="AL107" i="34"/>
  <c r="AK107" i="34"/>
  <c r="AJ107" i="34"/>
  <c r="AJ106" i="34"/>
  <c r="AK106" i="34"/>
  <c r="AL106" i="34"/>
  <c r="AJ93" i="34"/>
  <c r="AK93" i="34"/>
  <c r="AL93" i="34"/>
  <c r="AJ94" i="34"/>
  <c r="AK94" i="34"/>
  <c r="AL94" i="34"/>
  <c r="AJ95" i="34"/>
  <c r="AK95" i="34"/>
  <c r="AL95" i="34"/>
  <c r="AJ96" i="34"/>
  <c r="AK96" i="34"/>
  <c r="AL96" i="34"/>
  <c r="AJ97" i="34"/>
  <c r="AK97" i="34"/>
  <c r="AL97" i="34"/>
  <c r="AJ98" i="34"/>
  <c r="AK98" i="34"/>
  <c r="AL98" i="34"/>
  <c r="AJ99" i="34"/>
  <c r="AK99" i="34"/>
  <c r="AL99" i="34"/>
  <c r="AJ100" i="34"/>
  <c r="AK100" i="34"/>
  <c r="AL100" i="34"/>
  <c r="AJ101" i="34"/>
  <c r="AK101" i="34"/>
  <c r="AL101" i="34"/>
  <c r="AJ102" i="34"/>
  <c r="AK102" i="34"/>
  <c r="AL102" i="34"/>
  <c r="AJ103" i="34"/>
  <c r="AK103" i="34"/>
  <c r="AL103" i="34"/>
  <c r="AJ104" i="34"/>
  <c r="AK104" i="34"/>
  <c r="AL104" i="34"/>
  <c r="AJ105" i="34"/>
  <c r="AK105" i="34"/>
  <c r="AL105" i="34"/>
  <c r="AL92" i="34"/>
  <c r="AK92" i="34"/>
  <c r="AJ92" i="34"/>
  <c r="AJ78" i="34"/>
  <c r="AK78" i="34"/>
  <c r="AL78" i="34"/>
  <c r="AJ79" i="34"/>
  <c r="AK79" i="34"/>
  <c r="AL79" i="34"/>
  <c r="AJ80" i="34"/>
  <c r="AK80" i="34"/>
  <c r="AL80" i="34"/>
  <c r="AJ81" i="34"/>
  <c r="AK81" i="34"/>
  <c r="AL81" i="34"/>
  <c r="AJ82" i="34"/>
  <c r="AK82" i="34"/>
  <c r="AL82" i="34"/>
  <c r="AJ83" i="34"/>
  <c r="AK83" i="34"/>
  <c r="AL83" i="34"/>
  <c r="AJ84" i="34"/>
  <c r="AK84" i="34"/>
  <c r="AL84" i="34"/>
  <c r="AJ85" i="34"/>
  <c r="AK85" i="34"/>
  <c r="AL85" i="34"/>
  <c r="AJ86" i="34"/>
  <c r="AK86" i="34"/>
  <c r="AL86" i="34"/>
  <c r="AJ87" i="34"/>
  <c r="AK87" i="34"/>
  <c r="AL87" i="34"/>
  <c r="AJ88" i="34"/>
  <c r="AK88" i="34"/>
  <c r="AL88" i="34"/>
  <c r="AJ89" i="34"/>
  <c r="AK89" i="34"/>
  <c r="AL89" i="34"/>
  <c r="AJ90" i="34"/>
  <c r="AK90" i="34"/>
  <c r="AL90" i="34"/>
  <c r="AJ91" i="34"/>
  <c r="AK91" i="34"/>
  <c r="AL91" i="34"/>
  <c r="AL77" i="34"/>
  <c r="AK77" i="34"/>
  <c r="AJ77" i="34"/>
  <c r="AJ63" i="34"/>
  <c r="AK63" i="34"/>
  <c r="AL63" i="34"/>
  <c r="AJ64" i="34"/>
  <c r="AK64" i="34"/>
  <c r="AL64" i="34"/>
  <c r="AJ65" i="34"/>
  <c r="AK65" i="34"/>
  <c r="AL65" i="34"/>
  <c r="AJ66" i="34"/>
  <c r="AK66" i="34"/>
  <c r="AL66" i="34"/>
  <c r="AJ67" i="34"/>
  <c r="AK67" i="34"/>
  <c r="AL67" i="34"/>
  <c r="AJ68" i="34"/>
  <c r="AK68" i="34"/>
  <c r="AL68" i="34"/>
  <c r="AJ69" i="34"/>
  <c r="AK69" i="34"/>
  <c r="AL69" i="34"/>
  <c r="AJ70" i="34"/>
  <c r="AK70" i="34"/>
  <c r="AL70" i="34"/>
  <c r="AJ71" i="34"/>
  <c r="AK71" i="34"/>
  <c r="AL71" i="34"/>
  <c r="AJ72" i="34"/>
  <c r="AK72" i="34"/>
  <c r="AL72" i="34"/>
  <c r="AJ73" i="34"/>
  <c r="AK73" i="34"/>
  <c r="AL73" i="34"/>
  <c r="AJ74" i="34"/>
  <c r="AK74" i="34"/>
  <c r="AL74" i="34"/>
  <c r="AJ75" i="34"/>
  <c r="AK75" i="34"/>
  <c r="AL75" i="34"/>
  <c r="AJ76" i="34"/>
  <c r="AK76" i="34"/>
  <c r="AL76" i="34"/>
  <c r="AL62" i="34"/>
  <c r="AK62" i="34"/>
  <c r="AJ62" i="34"/>
  <c r="AJ48" i="34"/>
  <c r="AK48" i="34"/>
  <c r="AL48" i="34"/>
  <c r="AJ49" i="34"/>
  <c r="AK49" i="34"/>
  <c r="AL49" i="34"/>
  <c r="AJ50" i="34"/>
  <c r="AK50" i="34"/>
  <c r="AL50" i="34"/>
  <c r="AJ51" i="34"/>
  <c r="AK51" i="34"/>
  <c r="AL51" i="34"/>
  <c r="AJ52" i="34"/>
  <c r="AK52" i="34"/>
  <c r="AL52" i="34"/>
  <c r="AJ53" i="34"/>
  <c r="AK53" i="34"/>
  <c r="AL53" i="34"/>
  <c r="AJ54" i="34"/>
  <c r="AK54" i="34"/>
  <c r="AL54" i="34"/>
  <c r="AJ55" i="34"/>
  <c r="AK55" i="34"/>
  <c r="AL55" i="34"/>
  <c r="AJ56" i="34"/>
  <c r="AK56" i="34"/>
  <c r="AL56" i="34"/>
  <c r="AJ57" i="34"/>
  <c r="AK57" i="34"/>
  <c r="AL57" i="34"/>
  <c r="AJ58" i="34"/>
  <c r="AK58" i="34"/>
  <c r="AL58" i="34"/>
  <c r="AJ59" i="34"/>
  <c r="AK59" i="34"/>
  <c r="AL59" i="34"/>
  <c r="AJ60" i="34"/>
  <c r="AK60" i="34"/>
  <c r="AL60" i="34"/>
  <c r="AJ61" i="34"/>
  <c r="AK61" i="34"/>
  <c r="AL61" i="34"/>
  <c r="AL47" i="34"/>
  <c r="AK47" i="34"/>
  <c r="AJ47" i="34"/>
  <c r="AJ33" i="34"/>
  <c r="AK33" i="34"/>
  <c r="AL33" i="34"/>
  <c r="AJ34" i="34"/>
  <c r="AK34" i="34"/>
  <c r="AL34" i="34"/>
  <c r="AJ35" i="34"/>
  <c r="AK35" i="34"/>
  <c r="AL35" i="34"/>
  <c r="AJ36" i="34"/>
  <c r="AK36" i="34"/>
  <c r="AL36" i="34"/>
  <c r="AJ37" i="34"/>
  <c r="AK37" i="34"/>
  <c r="AL37" i="34"/>
  <c r="AJ38" i="34"/>
  <c r="AK38" i="34"/>
  <c r="AL38" i="34"/>
  <c r="AJ39" i="34"/>
  <c r="AK39" i="34"/>
  <c r="AL39" i="34"/>
  <c r="AJ40" i="34"/>
  <c r="AK40" i="34"/>
  <c r="AL40" i="34"/>
  <c r="AJ41" i="34"/>
  <c r="AK41" i="34"/>
  <c r="AL41" i="34"/>
  <c r="AJ42" i="34"/>
  <c r="AK42" i="34"/>
  <c r="AL42" i="34"/>
  <c r="AJ43" i="34"/>
  <c r="AK43" i="34"/>
  <c r="AL43" i="34"/>
  <c r="AJ44" i="34"/>
  <c r="AK44" i="34"/>
  <c r="AL44" i="34"/>
  <c r="AJ45" i="34"/>
  <c r="AK45" i="34"/>
  <c r="AL45" i="34"/>
  <c r="AJ46" i="34"/>
  <c r="AK46" i="34"/>
  <c r="AL46" i="34"/>
  <c r="AL32" i="34"/>
  <c r="AK32" i="34"/>
  <c r="AJ32" i="34"/>
  <c r="AJ18" i="34"/>
  <c r="AK18" i="34"/>
  <c r="AL18" i="34"/>
  <c r="AJ19" i="34"/>
  <c r="AK19" i="34"/>
  <c r="AL19" i="34"/>
  <c r="AJ20" i="34"/>
  <c r="AK20" i="34"/>
  <c r="AL20" i="34"/>
  <c r="AJ21" i="34"/>
  <c r="AK21" i="34"/>
  <c r="AL21" i="34"/>
  <c r="AJ22" i="34"/>
  <c r="AK22" i="34"/>
  <c r="AL22" i="34"/>
  <c r="AJ23" i="34"/>
  <c r="AK23" i="34"/>
  <c r="AL23" i="34"/>
  <c r="AJ24" i="34"/>
  <c r="AK24" i="34"/>
  <c r="AL24" i="34"/>
  <c r="AJ25" i="34"/>
  <c r="AK25" i="34"/>
  <c r="AL25" i="34"/>
  <c r="AJ26" i="34"/>
  <c r="AK26" i="34"/>
  <c r="AL26" i="34"/>
  <c r="AJ27" i="34"/>
  <c r="AK27" i="34"/>
  <c r="AL27" i="34"/>
  <c r="AJ28" i="34"/>
  <c r="AK28" i="34"/>
  <c r="AL28" i="34"/>
  <c r="AJ29" i="34"/>
  <c r="AK29" i="34"/>
  <c r="AL29" i="34"/>
  <c r="AJ30" i="34"/>
  <c r="AK30" i="34"/>
  <c r="AL30" i="34"/>
  <c r="AJ31" i="34"/>
  <c r="AK31" i="34"/>
  <c r="AL31" i="34"/>
  <c r="AL17" i="34"/>
  <c r="AK17" i="34"/>
  <c r="AJ17" i="34"/>
  <c r="AD67" i="34"/>
  <c r="AM496" i="34" s="1"/>
  <c r="AC67" i="34"/>
  <c r="AM476" i="34" s="1"/>
  <c r="AB67" i="34"/>
  <c r="AM456" i="34" s="1"/>
  <c r="AD66" i="34"/>
  <c r="AM495" i="34" s="1"/>
  <c r="AC66" i="34"/>
  <c r="AM475" i="34" s="1"/>
  <c r="AB66" i="34"/>
  <c r="AM455" i="34" s="1"/>
  <c r="AD65" i="34"/>
  <c r="AM494" i="34" s="1"/>
  <c r="AC65" i="34"/>
  <c r="AM474" i="34" s="1"/>
  <c r="AB65" i="34"/>
  <c r="AM454" i="34" s="1"/>
  <c r="AD64" i="34"/>
  <c r="AM493" i="34" s="1"/>
  <c r="AC64" i="34"/>
  <c r="AM473" i="34" s="1"/>
  <c r="AB64" i="34"/>
  <c r="AM453" i="34" s="1"/>
  <c r="AD63" i="34"/>
  <c r="AM492" i="34" s="1"/>
  <c r="AC63" i="34"/>
  <c r="AM472" i="34" s="1"/>
  <c r="AB63" i="34"/>
  <c r="AM452" i="34" s="1"/>
  <c r="AD62" i="34"/>
  <c r="AM491" i="34" s="1"/>
  <c r="AC62" i="34"/>
  <c r="AM471" i="34" s="1"/>
  <c r="AB62" i="34"/>
  <c r="AM451" i="34" s="1"/>
  <c r="AD61" i="34"/>
  <c r="AM490" i="34" s="1"/>
  <c r="AC61" i="34"/>
  <c r="AM470" i="34" s="1"/>
  <c r="AB61" i="34"/>
  <c r="AM450" i="34" s="1"/>
  <c r="AD60" i="34"/>
  <c r="AM489" i="34" s="1"/>
  <c r="AC60" i="34"/>
  <c r="AM469" i="34" s="1"/>
  <c r="AB60" i="34"/>
  <c r="AM449" i="34" s="1"/>
  <c r="AD59" i="34"/>
  <c r="AM488" i="34" s="1"/>
  <c r="AC59" i="34"/>
  <c r="AM468" i="34" s="1"/>
  <c r="AB59" i="34"/>
  <c r="AM448" i="34" s="1"/>
  <c r="AD58" i="34"/>
  <c r="AM487" i="34" s="1"/>
  <c r="AC58" i="34"/>
  <c r="AM467" i="34" s="1"/>
  <c r="AB58" i="34"/>
  <c r="AM447" i="34" s="1"/>
  <c r="AD57" i="34"/>
  <c r="AM486" i="34" s="1"/>
  <c r="AC57" i="34"/>
  <c r="AM466" i="34" s="1"/>
  <c r="AB57" i="34"/>
  <c r="AM446" i="34" s="1"/>
  <c r="AD56" i="34"/>
  <c r="AM485" i="34" s="1"/>
  <c r="AC56" i="34"/>
  <c r="AM465" i="34" s="1"/>
  <c r="AB56" i="34"/>
  <c r="AM445" i="34" s="1"/>
  <c r="AD55" i="34"/>
  <c r="AM484" i="34" s="1"/>
  <c r="AC55" i="34"/>
  <c r="AM464" i="34" s="1"/>
  <c r="AB55" i="34"/>
  <c r="AM444" i="34" s="1"/>
  <c r="AD54" i="34"/>
  <c r="AM483" i="34" s="1"/>
  <c r="AC54" i="34"/>
  <c r="AM463" i="34" s="1"/>
  <c r="AB54" i="34"/>
  <c r="AM443" i="34" s="1"/>
  <c r="AD53" i="34"/>
  <c r="AM482" i="34" s="1"/>
  <c r="AC53" i="34"/>
  <c r="AM462" i="34" s="1"/>
  <c r="AB53" i="34"/>
  <c r="AM442" i="34" s="1"/>
  <c r="AD52" i="34"/>
  <c r="AM481" i="34" s="1"/>
  <c r="AC52" i="34"/>
  <c r="AM461" i="34" s="1"/>
  <c r="AB52" i="34"/>
  <c r="AM441" i="34" s="1"/>
  <c r="AD51" i="34"/>
  <c r="AM480" i="34" s="1"/>
  <c r="AC51" i="34"/>
  <c r="AM460" i="34" s="1"/>
  <c r="AB51" i="34"/>
  <c r="AM440" i="34" s="1"/>
  <c r="AD50" i="34"/>
  <c r="AM479" i="34" s="1"/>
  <c r="AC50" i="34"/>
  <c r="AM459" i="34" s="1"/>
  <c r="AB50" i="34"/>
  <c r="AM439" i="34" s="1"/>
  <c r="AD49" i="34"/>
  <c r="AM478" i="34" s="1"/>
  <c r="AC49" i="34"/>
  <c r="AM458" i="34" s="1"/>
  <c r="AB49" i="34"/>
  <c r="AM438" i="34" s="1"/>
  <c r="AD48" i="34"/>
  <c r="AM477" i="34" s="1"/>
  <c r="AC48" i="34"/>
  <c r="AM457" i="34" s="1"/>
  <c r="AB48" i="34"/>
  <c r="AM437" i="34" s="1"/>
  <c r="AD44" i="34"/>
  <c r="AM316" i="34" s="1"/>
  <c r="AC44" i="34"/>
  <c r="AM296" i="34" s="1"/>
  <c r="AB44" i="34"/>
  <c r="AM276" i="34" s="1"/>
  <c r="AD43" i="34"/>
  <c r="AM315" i="34" s="1"/>
  <c r="AC43" i="34"/>
  <c r="AM295" i="34" s="1"/>
  <c r="AB43" i="34"/>
  <c r="AM275" i="34" s="1"/>
  <c r="AD42" i="34"/>
  <c r="AM314" i="34" s="1"/>
  <c r="AC42" i="34"/>
  <c r="AM294" i="34" s="1"/>
  <c r="AB42" i="34"/>
  <c r="AM274" i="34" s="1"/>
  <c r="AD41" i="34"/>
  <c r="AM313" i="34" s="1"/>
  <c r="AC41" i="34"/>
  <c r="AM293" i="34" s="1"/>
  <c r="AB41" i="34"/>
  <c r="AM273" i="34" s="1"/>
  <c r="AD40" i="34"/>
  <c r="AM312" i="34" s="1"/>
  <c r="AC40" i="34"/>
  <c r="AM292" i="34" s="1"/>
  <c r="AB40" i="34"/>
  <c r="AM272" i="34" s="1"/>
  <c r="AD39" i="34"/>
  <c r="AM311" i="34" s="1"/>
  <c r="AC39" i="34"/>
  <c r="AM291" i="34" s="1"/>
  <c r="AB39" i="34"/>
  <c r="AM271" i="34" s="1"/>
  <c r="AD38" i="34"/>
  <c r="AM310" i="34" s="1"/>
  <c r="AC38" i="34"/>
  <c r="AM290" i="34" s="1"/>
  <c r="AB38" i="34"/>
  <c r="AM270" i="34" s="1"/>
  <c r="AD37" i="34"/>
  <c r="AM309" i="34" s="1"/>
  <c r="AC37" i="34"/>
  <c r="AM289" i="34" s="1"/>
  <c r="AB37" i="34"/>
  <c r="AM269" i="34" s="1"/>
  <c r="AD36" i="34"/>
  <c r="AM308" i="34" s="1"/>
  <c r="AC36" i="34"/>
  <c r="AM288" i="34" s="1"/>
  <c r="AB36" i="34"/>
  <c r="AM268" i="34" s="1"/>
  <c r="AD35" i="34"/>
  <c r="AM307" i="34" s="1"/>
  <c r="AC35" i="34"/>
  <c r="AM287" i="34" s="1"/>
  <c r="AB35" i="34"/>
  <c r="AM267" i="34" s="1"/>
  <c r="AD34" i="34"/>
  <c r="AM306" i="34" s="1"/>
  <c r="AC34" i="34"/>
  <c r="AM286" i="34" s="1"/>
  <c r="AB34" i="34"/>
  <c r="AM266" i="34" s="1"/>
  <c r="AD33" i="34"/>
  <c r="AM305" i="34" s="1"/>
  <c r="AC33" i="34"/>
  <c r="AM285" i="34" s="1"/>
  <c r="AB33" i="34"/>
  <c r="AM265" i="34" s="1"/>
  <c r="AD32" i="34"/>
  <c r="AM304" i="34" s="1"/>
  <c r="AC32" i="34"/>
  <c r="AM284" i="34" s="1"/>
  <c r="AB32" i="34"/>
  <c r="AM264" i="34" s="1"/>
  <c r="AD31" i="34"/>
  <c r="AM303" i="34" s="1"/>
  <c r="AC31" i="34"/>
  <c r="AM283" i="34" s="1"/>
  <c r="AB31" i="34"/>
  <c r="AM263" i="34" s="1"/>
  <c r="AD30" i="34"/>
  <c r="AM302" i="34" s="1"/>
  <c r="AC30" i="34"/>
  <c r="AM282" i="34" s="1"/>
  <c r="AB30" i="34"/>
  <c r="AM262" i="34" s="1"/>
  <c r="AD29" i="34"/>
  <c r="AM301" i="34" s="1"/>
  <c r="AC29" i="34"/>
  <c r="AM281" i="34" s="1"/>
  <c r="AB29" i="34"/>
  <c r="AM261" i="34" s="1"/>
  <c r="AD28" i="34"/>
  <c r="AM300" i="34" s="1"/>
  <c r="AC28" i="34"/>
  <c r="AM280" i="34" s="1"/>
  <c r="AB28" i="34"/>
  <c r="AM260" i="34" s="1"/>
  <c r="AD27" i="34"/>
  <c r="AM299" i="34" s="1"/>
  <c r="AC27" i="34"/>
  <c r="AM279" i="34" s="1"/>
  <c r="AB27" i="34"/>
  <c r="AM259" i="34" s="1"/>
  <c r="AD26" i="34"/>
  <c r="AM298" i="34" s="1"/>
  <c r="AC26" i="34"/>
  <c r="AM278" i="34" s="1"/>
  <c r="AB26" i="34"/>
  <c r="AM258" i="34" s="1"/>
  <c r="AD25" i="34"/>
  <c r="AM297" i="34" s="1"/>
  <c r="AC25" i="34"/>
  <c r="AM277" i="34" s="1"/>
  <c r="AB25" i="34"/>
  <c r="AM257" i="34" s="1"/>
  <c r="AD21" i="34"/>
  <c r="AM136" i="34" s="1"/>
  <c r="AC21" i="34"/>
  <c r="AM121" i="34" s="1"/>
  <c r="AB21" i="34"/>
  <c r="AM106" i="34" s="1"/>
  <c r="AD20" i="34"/>
  <c r="AM135" i="34" s="1"/>
  <c r="AC20" i="34"/>
  <c r="AM120" i="34" s="1"/>
  <c r="AB20" i="34"/>
  <c r="AM105" i="34" s="1"/>
  <c r="AD19" i="34"/>
  <c r="AM134" i="34" s="1"/>
  <c r="AC19" i="34"/>
  <c r="AM119" i="34" s="1"/>
  <c r="AB19" i="34"/>
  <c r="AM104" i="34" s="1"/>
  <c r="AD18" i="34"/>
  <c r="AM133" i="34" s="1"/>
  <c r="AC18" i="34"/>
  <c r="AM118" i="34" s="1"/>
  <c r="AB18" i="34"/>
  <c r="AM103" i="34" s="1"/>
  <c r="AD17" i="34"/>
  <c r="AM132" i="34" s="1"/>
  <c r="AC17" i="34"/>
  <c r="AM117" i="34" s="1"/>
  <c r="AB17" i="34"/>
  <c r="AM102" i="34" s="1"/>
  <c r="AD16" i="34"/>
  <c r="AM131" i="34" s="1"/>
  <c r="AC16" i="34"/>
  <c r="AM116" i="34" s="1"/>
  <c r="AB16" i="34"/>
  <c r="AM101" i="34" s="1"/>
  <c r="AD15" i="34"/>
  <c r="AM130" i="34" s="1"/>
  <c r="AC15" i="34"/>
  <c r="AM115" i="34" s="1"/>
  <c r="AB15" i="34"/>
  <c r="AM100" i="34" s="1"/>
  <c r="AD14" i="34"/>
  <c r="AM129" i="34" s="1"/>
  <c r="AC14" i="34"/>
  <c r="AM114" i="34" s="1"/>
  <c r="AB14" i="34"/>
  <c r="AM99" i="34" s="1"/>
  <c r="AD13" i="34"/>
  <c r="AM128" i="34" s="1"/>
  <c r="AC13" i="34"/>
  <c r="AM113" i="34" s="1"/>
  <c r="AB13" i="34"/>
  <c r="AM98" i="34" s="1"/>
  <c r="AD12" i="34"/>
  <c r="AM127" i="34" s="1"/>
  <c r="AC12" i="34"/>
  <c r="AM112" i="34" s="1"/>
  <c r="AB12" i="34"/>
  <c r="AM97" i="34" s="1"/>
  <c r="AD11" i="34"/>
  <c r="AM126" i="34" s="1"/>
  <c r="AC11" i="34"/>
  <c r="AM111" i="34" s="1"/>
  <c r="AB11" i="34"/>
  <c r="AM96" i="34" s="1"/>
  <c r="AD10" i="34"/>
  <c r="AM125" i="34" s="1"/>
  <c r="AC10" i="34"/>
  <c r="AM110" i="34" s="1"/>
  <c r="AB10" i="34"/>
  <c r="AM95" i="34" s="1"/>
  <c r="AD9" i="34"/>
  <c r="AM124" i="34" s="1"/>
  <c r="AC9" i="34"/>
  <c r="AM109" i="34" s="1"/>
  <c r="AB9" i="34"/>
  <c r="AM94" i="34" s="1"/>
  <c r="AD8" i="34"/>
  <c r="AM123" i="34" s="1"/>
  <c r="AC8" i="34"/>
  <c r="AM108" i="34" s="1"/>
  <c r="AB8" i="34"/>
  <c r="AM93" i="34" s="1"/>
  <c r="AD7" i="34"/>
  <c r="AM122" i="34" s="1"/>
  <c r="AC7" i="34"/>
  <c r="AM107" i="34" s="1"/>
  <c r="AB7" i="34"/>
  <c r="AM92" i="34" s="1"/>
  <c r="U67" i="34"/>
  <c r="AM436" i="34" s="1"/>
  <c r="T67" i="34"/>
  <c r="AM416" i="34" s="1"/>
  <c r="S67" i="34"/>
  <c r="AM396" i="34" s="1"/>
  <c r="U66" i="34"/>
  <c r="AM435" i="34" s="1"/>
  <c r="T66" i="34"/>
  <c r="AM415" i="34" s="1"/>
  <c r="S66" i="34"/>
  <c r="AM395" i="34" s="1"/>
  <c r="U65" i="34"/>
  <c r="AM434" i="34" s="1"/>
  <c r="T65" i="34"/>
  <c r="AM414" i="34" s="1"/>
  <c r="S65" i="34"/>
  <c r="AM394" i="34" s="1"/>
  <c r="U64" i="34"/>
  <c r="AM433" i="34" s="1"/>
  <c r="T64" i="34"/>
  <c r="AM413" i="34" s="1"/>
  <c r="S64" i="34"/>
  <c r="AM393" i="34" s="1"/>
  <c r="U63" i="34"/>
  <c r="AM432" i="34" s="1"/>
  <c r="T63" i="34"/>
  <c r="AM412" i="34" s="1"/>
  <c r="S63" i="34"/>
  <c r="AM392" i="34" s="1"/>
  <c r="U62" i="34"/>
  <c r="AM431" i="34" s="1"/>
  <c r="T62" i="34"/>
  <c r="AM411" i="34" s="1"/>
  <c r="S62" i="34"/>
  <c r="AM391" i="34" s="1"/>
  <c r="U61" i="34"/>
  <c r="AM430" i="34" s="1"/>
  <c r="T61" i="34"/>
  <c r="AM410" i="34" s="1"/>
  <c r="S61" i="34"/>
  <c r="AM390" i="34" s="1"/>
  <c r="U60" i="34"/>
  <c r="AM429" i="34" s="1"/>
  <c r="T60" i="34"/>
  <c r="AM409" i="34" s="1"/>
  <c r="S60" i="34"/>
  <c r="AM389" i="34" s="1"/>
  <c r="U59" i="34"/>
  <c r="AM428" i="34" s="1"/>
  <c r="T59" i="34"/>
  <c r="AM408" i="34" s="1"/>
  <c r="S59" i="34"/>
  <c r="AM388" i="34" s="1"/>
  <c r="U58" i="34"/>
  <c r="AM427" i="34" s="1"/>
  <c r="T58" i="34"/>
  <c r="AM407" i="34" s="1"/>
  <c r="S58" i="34"/>
  <c r="AM387" i="34" s="1"/>
  <c r="U57" i="34"/>
  <c r="AM426" i="34" s="1"/>
  <c r="T57" i="34"/>
  <c r="AM406" i="34" s="1"/>
  <c r="S57" i="34"/>
  <c r="AM386" i="34" s="1"/>
  <c r="U56" i="34"/>
  <c r="AM425" i="34" s="1"/>
  <c r="T56" i="34"/>
  <c r="AM405" i="34" s="1"/>
  <c r="S56" i="34"/>
  <c r="AM385" i="34" s="1"/>
  <c r="U55" i="34"/>
  <c r="AM424" i="34" s="1"/>
  <c r="T55" i="34"/>
  <c r="AM404" i="34" s="1"/>
  <c r="S55" i="34"/>
  <c r="AM384" i="34" s="1"/>
  <c r="U54" i="34"/>
  <c r="AM423" i="34" s="1"/>
  <c r="T54" i="34"/>
  <c r="AM403" i="34" s="1"/>
  <c r="S54" i="34"/>
  <c r="AM383" i="34" s="1"/>
  <c r="U53" i="34"/>
  <c r="AM422" i="34" s="1"/>
  <c r="T53" i="34"/>
  <c r="AM402" i="34" s="1"/>
  <c r="S53" i="34"/>
  <c r="AM382" i="34" s="1"/>
  <c r="U52" i="34"/>
  <c r="AM421" i="34" s="1"/>
  <c r="T52" i="34"/>
  <c r="AM401" i="34" s="1"/>
  <c r="S52" i="34"/>
  <c r="AM381" i="34" s="1"/>
  <c r="U51" i="34"/>
  <c r="AM420" i="34" s="1"/>
  <c r="T51" i="34"/>
  <c r="AM400" i="34" s="1"/>
  <c r="S51" i="34"/>
  <c r="AM380" i="34" s="1"/>
  <c r="U50" i="34"/>
  <c r="AM419" i="34" s="1"/>
  <c r="T50" i="34"/>
  <c r="AM399" i="34" s="1"/>
  <c r="S50" i="34"/>
  <c r="AM379" i="34" s="1"/>
  <c r="U49" i="34"/>
  <c r="AM418" i="34" s="1"/>
  <c r="T49" i="34"/>
  <c r="AM398" i="34" s="1"/>
  <c r="S49" i="34"/>
  <c r="AM378" i="34" s="1"/>
  <c r="U48" i="34"/>
  <c r="AM417" i="34" s="1"/>
  <c r="T48" i="34"/>
  <c r="AM397" i="34" s="1"/>
  <c r="S48" i="34"/>
  <c r="AM377" i="34" s="1"/>
  <c r="T44" i="34"/>
  <c r="AM256" i="34" s="1"/>
  <c r="S44" i="34"/>
  <c r="AM236" i="34" s="1"/>
  <c r="R44" i="34"/>
  <c r="AM216" i="34" s="1"/>
  <c r="T43" i="34"/>
  <c r="AM255" i="34" s="1"/>
  <c r="S43" i="34"/>
  <c r="AM235" i="34" s="1"/>
  <c r="R43" i="34"/>
  <c r="AM215" i="34" s="1"/>
  <c r="T42" i="34"/>
  <c r="AM254" i="34" s="1"/>
  <c r="S42" i="34"/>
  <c r="AM234" i="34" s="1"/>
  <c r="R42" i="34"/>
  <c r="AM214" i="34" s="1"/>
  <c r="T41" i="34"/>
  <c r="AM253" i="34" s="1"/>
  <c r="S41" i="34"/>
  <c r="AM233" i="34" s="1"/>
  <c r="R41" i="34"/>
  <c r="AM213" i="34" s="1"/>
  <c r="T40" i="34"/>
  <c r="AM252" i="34" s="1"/>
  <c r="S40" i="34"/>
  <c r="AM232" i="34" s="1"/>
  <c r="R40" i="34"/>
  <c r="AM212" i="34" s="1"/>
  <c r="T39" i="34"/>
  <c r="AM251" i="34" s="1"/>
  <c r="S39" i="34"/>
  <c r="AM231" i="34" s="1"/>
  <c r="R39" i="34"/>
  <c r="AM211" i="34" s="1"/>
  <c r="T38" i="34"/>
  <c r="AM250" i="34" s="1"/>
  <c r="S38" i="34"/>
  <c r="AM230" i="34" s="1"/>
  <c r="R38" i="34"/>
  <c r="AM210" i="34" s="1"/>
  <c r="T37" i="34"/>
  <c r="AM249" i="34" s="1"/>
  <c r="S37" i="34"/>
  <c r="AM229" i="34" s="1"/>
  <c r="R37" i="34"/>
  <c r="AM209" i="34" s="1"/>
  <c r="T36" i="34"/>
  <c r="AM248" i="34" s="1"/>
  <c r="S36" i="34"/>
  <c r="AM228" i="34" s="1"/>
  <c r="R36" i="34"/>
  <c r="AM208" i="34" s="1"/>
  <c r="T35" i="34"/>
  <c r="AM247" i="34" s="1"/>
  <c r="S35" i="34"/>
  <c r="AM227" i="34" s="1"/>
  <c r="R35" i="34"/>
  <c r="AM207" i="34" s="1"/>
  <c r="T34" i="34"/>
  <c r="AM246" i="34" s="1"/>
  <c r="S34" i="34"/>
  <c r="AM226" i="34" s="1"/>
  <c r="R34" i="34"/>
  <c r="AM206" i="34" s="1"/>
  <c r="T33" i="34"/>
  <c r="AM245" i="34" s="1"/>
  <c r="S33" i="34"/>
  <c r="AM225" i="34" s="1"/>
  <c r="R33" i="34"/>
  <c r="AM205" i="34" s="1"/>
  <c r="T32" i="34"/>
  <c r="AM244" i="34" s="1"/>
  <c r="S32" i="34"/>
  <c r="AM224" i="34" s="1"/>
  <c r="R32" i="34"/>
  <c r="AM204" i="34" s="1"/>
  <c r="T31" i="34"/>
  <c r="AM243" i="34" s="1"/>
  <c r="S31" i="34"/>
  <c r="AM223" i="34" s="1"/>
  <c r="R31" i="34"/>
  <c r="AM203" i="34" s="1"/>
  <c r="T30" i="34"/>
  <c r="AM242" i="34" s="1"/>
  <c r="S30" i="34"/>
  <c r="AM222" i="34" s="1"/>
  <c r="R30" i="34"/>
  <c r="AM202" i="34" s="1"/>
  <c r="T29" i="34"/>
  <c r="AM241" i="34" s="1"/>
  <c r="S29" i="34"/>
  <c r="AM221" i="34" s="1"/>
  <c r="R29" i="34"/>
  <c r="AM201" i="34" s="1"/>
  <c r="T28" i="34"/>
  <c r="AM240" i="34" s="1"/>
  <c r="S28" i="34"/>
  <c r="AM220" i="34" s="1"/>
  <c r="R28" i="34"/>
  <c r="AM200" i="34" s="1"/>
  <c r="T27" i="34"/>
  <c r="AM239" i="34" s="1"/>
  <c r="S27" i="34"/>
  <c r="AM219" i="34" s="1"/>
  <c r="R27" i="34"/>
  <c r="AM199" i="34" s="1"/>
  <c r="T26" i="34"/>
  <c r="AM238" i="34" s="1"/>
  <c r="S26" i="34"/>
  <c r="AM218" i="34" s="1"/>
  <c r="R26" i="34"/>
  <c r="AM198" i="34" s="1"/>
  <c r="T25" i="34"/>
  <c r="AM237" i="34" s="1"/>
  <c r="S25" i="34"/>
  <c r="AM217" i="34" s="1"/>
  <c r="R25" i="34"/>
  <c r="AM197" i="34" s="1"/>
  <c r="T21" i="34"/>
  <c r="AM91" i="34" s="1"/>
  <c r="S21" i="34"/>
  <c r="AM76" i="34" s="1"/>
  <c r="R21" i="34"/>
  <c r="AM61" i="34" s="1"/>
  <c r="T20" i="34"/>
  <c r="AM90" i="34" s="1"/>
  <c r="S20" i="34"/>
  <c r="AM75" i="34" s="1"/>
  <c r="R20" i="34"/>
  <c r="AM60" i="34" s="1"/>
  <c r="T19" i="34"/>
  <c r="AM89" i="34" s="1"/>
  <c r="S19" i="34"/>
  <c r="AM74" i="34" s="1"/>
  <c r="R19" i="34"/>
  <c r="AM59" i="34" s="1"/>
  <c r="T18" i="34"/>
  <c r="AM88" i="34" s="1"/>
  <c r="S18" i="34"/>
  <c r="AM73" i="34" s="1"/>
  <c r="R18" i="34"/>
  <c r="AM58" i="34" s="1"/>
  <c r="T17" i="34"/>
  <c r="AM87" i="34" s="1"/>
  <c r="S17" i="34"/>
  <c r="AM72" i="34" s="1"/>
  <c r="R17" i="34"/>
  <c r="AM57" i="34" s="1"/>
  <c r="T16" i="34"/>
  <c r="AM86" i="34" s="1"/>
  <c r="S16" i="34"/>
  <c r="AM71" i="34" s="1"/>
  <c r="R16" i="34"/>
  <c r="AM56" i="34" s="1"/>
  <c r="T15" i="34"/>
  <c r="AM85" i="34" s="1"/>
  <c r="S15" i="34"/>
  <c r="AM70" i="34" s="1"/>
  <c r="R15" i="34"/>
  <c r="AM55" i="34" s="1"/>
  <c r="T14" i="34"/>
  <c r="AM84" i="34" s="1"/>
  <c r="S14" i="34"/>
  <c r="AM69" i="34" s="1"/>
  <c r="R14" i="34"/>
  <c r="AM54" i="34" s="1"/>
  <c r="T13" i="34"/>
  <c r="AM83" i="34" s="1"/>
  <c r="S13" i="34"/>
  <c r="AM68" i="34" s="1"/>
  <c r="R13" i="34"/>
  <c r="AM53" i="34" s="1"/>
  <c r="T12" i="34"/>
  <c r="AM82" i="34" s="1"/>
  <c r="S12" i="34"/>
  <c r="AM67" i="34" s="1"/>
  <c r="R12" i="34"/>
  <c r="AM52" i="34" s="1"/>
  <c r="T11" i="34"/>
  <c r="AM81" i="34" s="1"/>
  <c r="S11" i="34"/>
  <c r="AM66" i="34" s="1"/>
  <c r="R11" i="34"/>
  <c r="AM51" i="34" s="1"/>
  <c r="T10" i="34"/>
  <c r="AM80" i="34" s="1"/>
  <c r="S10" i="34"/>
  <c r="AM65" i="34" s="1"/>
  <c r="R10" i="34"/>
  <c r="AM50" i="34" s="1"/>
  <c r="T9" i="34"/>
  <c r="AM79" i="34" s="1"/>
  <c r="S9" i="34"/>
  <c r="AM64" i="34" s="1"/>
  <c r="R9" i="34"/>
  <c r="AM49" i="34" s="1"/>
  <c r="T8" i="34"/>
  <c r="AM78" i="34" s="1"/>
  <c r="S8" i="34"/>
  <c r="AM63" i="34" s="1"/>
  <c r="R8" i="34"/>
  <c r="AM48" i="34" s="1"/>
  <c r="T7" i="34"/>
  <c r="AM77" i="34" s="1"/>
  <c r="S7" i="34"/>
  <c r="AM62" i="34" s="1"/>
  <c r="R7" i="34"/>
  <c r="AM47" i="34" s="1"/>
  <c r="K67" i="34"/>
  <c r="AM376" i="34" s="1"/>
  <c r="J67" i="34"/>
  <c r="AM356" i="34" s="1"/>
  <c r="I67" i="34"/>
  <c r="AM336" i="34" s="1"/>
  <c r="K66" i="34"/>
  <c r="AM375" i="34" s="1"/>
  <c r="J66" i="34"/>
  <c r="AM355" i="34" s="1"/>
  <c r="I66" i="34"/>
  <c r="AM335" i="34" s="1"/>
  <c r="K65" i="34"/>
  <c r="AM374" i="34" s="1"/>
  <c r="J65" i="34"/>
  <c r="AM354" i="34" s="1"/>
  <c r="I65" i="34"/>
  <c r="AM334" i="34" s="1"/>
  <c r="K64" i="34"/>
  <c r="AM373" i="34" s="1"/>
  <c r="J64" i="34"/>
  <c r="AM353" i="34" s="1"/>
  <c r="I64" i="34"/>
  <c r="AM333" i="34" s="1"/>
  <c r="K63" i="34"/>
  <c r="AM372" i="34" s="1"/>
  <c r="J63" i="34"/>
  <c r="AM352" i="34" s="1"/>
  <c r="I63" i="34"/>
  <c r="AM332" i="34" s="1"/>
  <c r="K62" i="34"/>
  <c r="AM371" i="34" s="1"/>
  <c r="J62" i="34"/>
  <c r="AM351" i="34" s="1"/>
  <c r="I62" i="34"/>
  <c r="AM331" i="34" s="1"/>
  <c r="K61" i="34"/>
  <c r="AM370" i="34" s="1"/>
  <c r="J61" i="34"/>
  <c r="AM350" i="34" s="1"/>
  <c r="I61" i="34"/>
  <c r="AM330" i="34" s="1"/>
  <c r="K60" i="34"/>
  <c r="AM369" i="34" s="1"/>
  <c r="J60" i="34"/>
  <c r="AM349" i="34" s="1"/>
  <c r="I60" i="34"/>
  <c r="AM329" i="34" s="1"/>
  <c r="K59" i="34"/>
  <c r="AM368" i="34" s="1"/>
  <c r="J59" i="34"/>
  <c r="AM348" i="34" s="1"/>
  <c r="I59" i="34"/>
  <c r="AM328" i="34" s="1"/>
  <c r="K58" i="34"/>
  <c r="AM367" i="34" s="1"/>
  <c r="J58" i="34"/>
  <c r="AM347" i="34" s="1"/>
  <c r="I58" i="34"/>
  <c r="AM327" i="34" s="1"/>
  <c r="K57" i="34"/>
  <c r="AM366" i="34" s="1"/>
  <c r="J57" i="34"/>
  <c r="AM346" i="34" s="1"/>
  <c r="I57" i="34"/>
  <c r="AM326" i="34" s="1"/>
  <c r="K56" i="34"/>
  <c r="AM365" i="34" s="1"/>
  <c r="J56" i="34"/>
  <c r="AM345" i="34" s="1"/>
  <c r="I56" i="34"/>
  <c r="AM325" i="34" s="1"/>
  <c r="K55" i="34"/>
  <c r="AM364" i="34" s="1"/>
  <c r="J55" i="34"/>
  <c r="AM344" i="34" s="1"/>
  <c r="I55" i="34"/>
  <c r="AM324" i="34" s="1"/>
  <c r="K54" i="34"/>
  <c r="AM363" i="34" s="1"/>
  <c r="J54" i="34"/>
  <c r="AM343" i="34" s="1"/>
  <c r="I54" i="34"/>
  <c r="AM323" i="34" s="1"/>
  <c r="K53" i="34"/>
  <c r="AM362" i="34" s="1"/>
  <c r="J53" i="34"/>
  <c r="AM342" i="34" s="1"/>
  <c r="I53" i="34"/>
  <c r="AM322" i="34" s="1"/>
  <c r="K52" i="34"/>
  <c r="AM361" i="34" s="1"/>
  <c r="J52" i="34"/>
  <c r="AM341" i="34" s="1"/>
  <c r="I52" i="34"/>
  <c r="AM321" i="34" s="1"/>
  <c r="K51" i="34"/>
  <c r="AM360" i="34" s="1"/>
  <c r="J51" i="34"/>
  <c r="AM340" i="34" s="1"/>
  <c r="I51" i="34"/>
  <c r="AM320" i="34" s="1"/>
  <c r="K50" i="34"/>
  <c r="AM359" i="34" s="1"/>
  <c r="J50" i="34"/>
  <c r="AM339" i="34" s="1"/>
  <c r="I50" i="34"/>
  <c r="AM319" i="34" s="1"/>
  <c r="K49" i="34"/>
  <c r="AM358" i="34" s="1"/>
  <c r="J49" i="34"/>
  <c r="AM338" i="34" s="1"/>
  <c r="I49" i="34"/>
  <c r="AM318" i="34" s="1"/>
  <c r="K48" i="34"/>
  <c r="AM357" i="34" s="1"/>
  <c r="J48" i="34"/>
  <c r="AM337" i="34" s="1"/>
  <c r="I48" i="34"/>
  <c r="AM317" i="34" s="1"/>
  <c r="I40" i="34"/>
  <c r="AM152" i="34" s="1"/>
  <c r="J40" i="34"/>
  <c r="AM172" i="34" s="1"/>
  <c r="K40" i="34"/>
  <c r="AM192" i="34" s="1"/>
  <c r="I41" i="34"/>
  <c r="AM153" i="34" s="1"/>
  <c r="J41" i="34"/>
  <c r="AM173" i="34" s="1"/>
  <c r="K41" i="34"/>
  <c r="AM193" i="34" s="1"/>
  <c r="I42" i="34"/>
  <c r="AM154" i="34" s="1"/>
  <c r="J42" i="34"/>
  <c r="AM174" i="34" s="1"/>
  <c r="K42" i="34"/>
  <c r="AM194" i="34" s="1"/>
  <c r="I43" i="34"/>
  <c r="AM155" i="34" s="1"/>
  <c r="J43" i="34"/>
  <c r="AM175" i="34" s="1"/>
  <c r="K43" i="34"/>
  <c r="AM195" i="34" s="1"/>
  <c r="I44" i="34"/>
  <c r="AM156" i="34" s="1"/>
  <c r="J44" i="34"/>
  <c r="AM176" i="34" s="1"/>
  <c r="K44" i="34"/>
  <c r="AM196" i="34" s="1"/>
  <c r="K39" i="34"/>
  <c r="AM191" i="34" s="1"/>
  <c r="J39" i="34"/>
  <c r="AM171" i="34" s="1"/>
  <c r="I39" i="34"/>
  <c r="AM151" i="34" s="1"/>
  <c r="K38" i="34"/>
  <c r="AM190" i="34" s="1"/>
  <c r="J38" i="34"/>
  <c r="AM170" i="34" s="1"/>
  <c r="I38" i="34"/>
  <c r="AM150" i="34" s="1"/>
  <c r="K37" i="34"/>
  <c r="AM189" i="34" s="1"/>
  <c r="J37" i="34"/>
  <c r="AM169" i="34" s="1"/>
  <c r="I37" i="34"/>
  <c r="AM149" i="34" s="1"/>
  <c r="K36" i="34"/>
  <c r="AM188" i="34" s="1"/>
  <c r="J36" i="34"/>
  <c r="AM168" i="34" s="1"/>
  <c r="I36" i="34"/>
  <c r="AM148" i="34" s="1"/>
  <c r="K35" i="34"/>
  <c r="AM187" i="34" s="1"/>
  <c r="J35" i="34"/>
  <c r="AM167" i="34" s="1"/>
  <c r="I35" i="34"/>
  <c r="AM147" i="34" s="1"/>
  <c r="K34" i="34"/>
  <c r="AM186" i="34" s="1"/>
  <c r="J34" i="34"/>
  <c r="AM166" i="34" s="1"/>
  <c r="I34" i="34"/>
  <c r="AM146" i="34" s="1"/>
  <c r="K33" i="34"/>
  <c r="AM185" i="34" s="1"/>
  <c r="J33" i="34"/>
  <c r="AM165" i="34" s="1"/>
  <c r="I33" i="34"/>
  <c r="AM145" i="34" s="1"/>
  <c r="K32" i="34"/>
  <c r="AM184" i="34" s="1"/>
  <c r="J32" i="34"/>
  <c r="AM164" i="34" s="1"/>
  <c r="I32" i="34"/>
  <c r="AM144" i="34" s="1"/>
  <c r="K31" i="34"/>
  <c r="AM183" i="34" s="1"/>
  <c r="J31" i="34"/>
  <c r="AM163" i="34" s="1"/>
  <c r="I31" i="34"/>
  <c r="AM143" i="34" s="1"/>
  <c r="K30" i="34"/>
  <c r="AM182" i="34" s="1"/>
  <c r="J30" i="34"/>
  <c r="AM162" i="34" s="1"/>
  <c r="I30" i="34"/>
  <c r="AM142" i="34" s="1"/>
  <c r="K29" i="34"/>
  <c r="AM181" i="34" s="1"/>
  <c r="J29" i="34"/>
  <c r="AM161" i="34" s="1"/>
  <c r="I29" i="34"/>
  <c r="AM141" i="34" s="1"/>
  <c r="K28" i="34"/>
  <c r="AM180" i="34" s="1"/>
  <c r="J28" i="34"/>
  <c r="AM160" i="34" s="1"/>
  <c r="I28" i="34"/>
  <c r="AM140" i="34" s="1"/>
  <c r="K27" i="34"/>
  <c r="AM179" i="34" s="1"/>
  <c r="J27" i="34"/>
  <c r="AM159" i="34" s="1"/>
  <c r="I27" i="34"/>
  <c r="AM139" i="34" s="1"/>
  <c r="K26" i="34"/>
  <c r="AM178" i="34" s="1"/>
  <c r="J26" i="34"/>
  <c r="AM158" i="34" s="1"/>
  <c r="I26" i="34"/>
  <c r="AM138" i="34" s="1"/>
  <c r="K25" i="34"/>
  <c r="AM177" i="34" s="1"/>
  <c r="J25" i="34"/>
  <c r="AM157" i="34" s="1"/>
  <c r="I25" i="34"/>
  <c r="AM137" i="34" s="1"/>
  <c r="I8" i="34"/>
  <c r="AM3" i="34" s="1"/>
  <c r="J8" i="34"/>
  <c r="AM18" i="34" s="1"/>
  <c r="K8" i="34"/>
  <c r="AM33" i="34" s="1"/>
  <c r="I9" i="34"/>
  <c r="AM4" i="34" s="1"/>
  <c r="J9" i="34"/>
  <c r="AM19" i="34" s="1"/>
  <c r="K9" i="34"/>
  <c r="AM34" i="34" s="1"/>
  <c r="I10" i="34"/>
  <c r="AM5" i="34" s="1"/>
  <c r="J10" i="34"/>
  <c r="AM20" i="34" s="1"/>
  <c r="K10" i="34"/>
  <c r="AM35" i="34" s="1"/>
  <c r="I11" i="34"/>
  <c r="AM6" i="34" s="1"/>
  <c r="J11" i="34"/>
  <c r="AM21" i="34" s="1"/>
  <c r="K11" i="34"/>
  <c r="AM36" i="34" s="1"/>
  <c r="I12" i="34"/>
  <c r="AM7" i="34" s="1"/>
  <c r="J12" i="34"/>
  <c r="AM22" i="34" s="1"/>
  <c r="K12" i="34"/>
  <c r="AM37" i="34" s="1"/>
  <c r="I13" i="34"/>
  <c r="AM8" i="34" s="1"/>
  <c r="J13" i="34"/>
  <c r="AM23" i="34" s="1"/>
  <c r="K13" i="34"/>
  <c r="AM38" i="34" s="1"/>
  <c r="I14" i="34"/>
  <c r="AM9" i="34" s="1"/>
  <c r="J14" i="34"/>
  <c r="AM24" i="34" s="1"/>
  <c r="K14" i="34"/>
  <c r="AM39" i="34" s="1"/>
  <c r="I15" i="34"/>
  <c r="AM10" i="34" s="1"/>
  <c r="J15" i="34"/>
  <c r="AM25" i="34" s="1"/>
  <c r="K15" i="34"/>
  <c r="AM40" i="34" s="1"/>
  <c r="I16" i="34"/>
  <c r="AM11" i="34" s="1"/>
  <c r="J16" i="34"/>
  <c r="AM26" i="34" s="1"/>
  <c r="K16" i="34"/>
  <c r="AM41" i="34" s="1"/>
  <c r="I17" i="34"/>
  <c r="AM12" i="34" s="1"/>
  <c r="J17" i="34"/>
  <c r="AM27" i="34" s="1"/>
  <c r="K17" i="34"/>
  <c r="AM42" i="34" s="1"/>
  <c r="I18" i="34"/>
  <c r="AM13" i="34" s="1"/>
  <c r="J18" i="34"/>
  <c r="AM28" i="34" s="1"/>
  <c r="K18" i="34"/>
  <c r="AM43" i="34" s="1"/>
  <c r="I19" i="34"/>
  <c r="AM14" i="34" s="1"/>
  <c r="J19" i="34"/>
  <c r="AM29" i="34" s="1"/>
  <c r="K19" i="34"/>
  <c r="AM44" i="34" s="1"/>
  <c r="I20" i="34"/>
  <c r="AM15" i="34" s="1"/>
  <c r="J20" i="34"/>
  <c r="AM30" i="34" s="1"/>
  <c r="K20" i="34"/>
  <c r="AM45" i="34" s="1"/>
  <c r="I21" i="34"/>
  <c r="AM16" i="34" s="1"/>
  <c r="J21" i="34"/>
  <c r="AM31" i="34" s="1"/>
  <c r="K21" i="34"/>
  <c r="AM46" i="34" s="1"/>
  <c r="I7" i="34"/>
  <c r="AM2" i="34" s="1"/>
  <c r="K7" i="34"/>
  <c r="AM32" i="34" s="1"/>
  <c r="J7" i="34"/>
  <c r="AM17" i="34" s="1"/>
  <c r="AJ12" i="34"/>
  <c r="AK12" i="34"/>
  <c r="AL12" i="34"/>
  <c r="AJ13" i="34"/>
  <c r="AK13" i="34"/>
  <c r="AL13" i="34"/>
  <c r="AJ14" i="34"/>
  <c r="AK14" i="34"/>
  <c r="AL14" i="34"/>
  <c r="AJ15" i="34"/>
  <c r="AK15" i="34"/>
  <c r="AL15" i="34"/>
  <c r="AJ16" i="34"/>
  <c r="AK16" i="34"/>
  <c r="AL16" i="34"/>
  <c r="AJ3" i="34"/>
  <c r="AK3" i="34"/>
  <c r="AL3" i="34"/>
  <c r="AJ4" i="34"/>
  <c r="AK4" i="34"/>
  <c r="AL4" i="34"/>
  <c r="AJ5" i="34"/>
  <c r="AK5" i="34"/>
  <c r="AL5" i="34"/>
  <c r="AJ6" i="34"/>
  <c r="AK6" i="34"/>
  <c r="AL6" i="34"/>
  <c r="AJ7" i="34"/>
  <c r="AK7" i="34"/>
  <c r="AL7" i="34"/>
  <c r="AJ8" i="34"/>
  <c r="AK8" i="34"/>
  <c r="AL8" i="34"/>
  <c r="AJ9" i="34"/>
  <c r="AK9" i="34"/>
  <c r="AL9" i="34"/>
  <c r="AJ10" i="34"/>
  <c r="AK10" i="34"/>
  <c r="AL10" i="34"/>
  <c r="AJ11" i="34"/>
  <c r="AK11" i="34"/>
  <c r="AL11" i="34"/>
  <c r="AL2" i="34"/>
  <c r="AK2" i="34"/>
  <c r="AJ2" i="34"/>
  <c r="I26" i="30" l="1"/>
  <c r="I24" i="30"/>
  <c r="I23" i="30"/>
  <c r="I25" i="30"/>
  <c r="I31" i="30"/>
  <c r="I37" i="30"/>
  <c r="I35" i="30"/>
  <c r="I34" i="30"/>
  <c r="I36" i="30"/>
  <c r="G3" i="30" l="1"/>
  <c r="H3" i="30" s="1"/>
  <c r="G9" i="30"/>
  <c r="H9" i="30" s="1"/>
  <c r="J7" i="30"/>
  <c r="I38" i="30"/>
  <c r="G12" i="30"/>
  <c r="H12" i="30" s="1"/>
  <c r="G16" i="30"/>
  <c r="H16" i="30" s="1"/>
  <c r="G15" i="30"/>
  <c r="H15" i="30" s="1"/>
  <c r="G14" i="30"/>
  <c r="H14" i="30" s="1"/>
  <c r="I9" i="30"/>
  <c r="I8" i="30"/>
  <c r="I2" i="30"/>
  <c r="I3" i="30"/>
  <c r="I11" i="30"/>
  <c r="I12" i="30"/>
  <c r="J9" i="30"/>
  <c r="J10" i="30"/>
  <c r="J14" i="30"/>
  <c r="I16" i="30"/>
  <c r="J3" i="30"/>
  <c r="J4" i="30"/>
  <c r="I15" i="30"/>
  <c r="I14" i="30"/>
  <c r="J15" i="30"/>
  <c r="J16" i="30"/>
  <c r="J13" i="30"/>
  <c r="J12" i="30"/>
  <c r="H46" i="29"/>
  <c r="H45" i="29"/>
  <c r="H44" i="29"/>
  <c r="H42" i="29"/>
  <c r="G46" i="29"/>
  <c r="G45" i="29"/>
  <c r="G44" i="29"/>
  <c r="G42" i="29"/>
  <c r="K14" i="30" l="1"/>
  <c r="K12" i="30"/>
  <c r="K15" i="30"/>
  <c r="K3" i="30"/>
  <c r="K16" i="30"/>
  <c r="K9" i="30"/>
  <c r="F42" i="29" l="1"/>
  <c r="J42" i="29" s="1"/>
  <c r="F43" i="29"/>
  <c r="F44" i="29"/>
  <c r="J44" i="29" s="1"/>
  <c r="F45" i="29"/>
  <c r="J45" i="29" s="1"/>
  <c r="F46" i="29"/>
  <c r="J46" i="29" s="1"/>
  <c r="E42" i="29" l="1"/>
  <c r="I42" i="29" s="1"/>
  <c r="E43" i="29"/>
  <c r="E44" i="29"/>
  <c r="I44" i="29" s="1"/>
  <c r="E46" i="29"/>
  <c r="I46" i="29" s="1"/>
  <c r="E45" i="29"/>
  <c r="I45" i="29" s="1"/>
  <c r="DW7" i="33"/>
  <c r="Q7" i="33"/>
  <c r="BJ7" i="33"/>
  <c r="G6" i="33"/>
  <c r="B8" i="33"/>
  <c r="Q12" i="33"/>
  <c r="L8" i="33"/>
  <c r="L6" i="33"/>
  <c r="DR10" i="33"/>
  <c r="Q13" i="33"/>
  <c r="BE11" i="33"/>
  <c r="BT10" i="33"/>
  <c r="BO6" i="33"/>
  <c r="BO8" i="33"/>
  <c r="DW13" i="33"/>
  <c r="G11" i="33"/>
  <c r="L12" i="33"/>
  <c r="BO12" i="33"/>
  <c r="BJ8" i="33"/>
  <c r="BJ6" i="33"/>
  <c r="G10" i="33"/>
  <c r="B11" i="33"/>
  <c r="G8" i="33"/>
  <c r="BO10" i="33"/>
  <c r="BJ11" i="33"/>
  <c r="B13" i="33"/>
  <c r="DR11" i="33"/>
  <c r="DR6" i="33"/>
  <c r="DR8" i="33"/>
  <c r="DH13" i="33"/>
  <c r="DH11" i="33"/>
  <c r="DH10" i="33"/>
  <c r="Q6" i="33"/>
  <c r="Q8" i="33"/>
  <c r="L11" i="33"/>
  <c r="BJ12" i="33"/>
  <c r="BE13" i="33"/>
  <c r="BE12" i="33"/>
  <c r="DH8" i="33"/>
  <c r="DH6" i="33"/>
  <c r="BT13" i="33"/>
  <c r="DR13" i="33"/>
  <c r="DM11" i="33"/>
  <c r="DM12" i="33"/>
  <c r="BT11" i="33"/>
  <c r="DW12" i="33"/>
  <c r="Q11" i="33"/>
  <c r="L13" i="33"/>
  <c r="L10" i="33"/>
  <c r="BJ13" i="33"/>
  <c r="DM8" i="33"/>
  <c r="DM6" i="33"/>
  <c r="BE10" i="33"/>
  <c r="B6" i="33"/>
  <c r="DW10" i="33"/>
  <c r="BO13" i="33"/>
  <c r="BJ10" i="33"/>
  <c r="BE8" i="33"/>
  <c r="BE6" i="33"/>
  <c r="DW8" i="33"/>
  <c r="DW6" i="33"/>
  <c r="G12" i="33"/>
  <c r="DM13" i="33"/>
  <c r="DR12" i="33"/>
  <c r="BO11" i="33"/>
  <c r="DM10" i="33"/>
  <c r="B12" i="33"/>
  <c r="BT12" i="33"/>
  <c r="BT8" i="33"/>
  <c r="BT6" i="33"/>
  <c r="Q10" i="33"/>
  <c r="DW11" i="33"/>
  <c r="G13" i="33"/>
  <c r="B10" i="33"/>
  <c r="DH12" i="33"/>
  <c r="DR7" i="33" l="1"/>
  <c r="BO7" i="33"/>
  <c r="BE7" i="33"/>
  <c r="BT7" i="33"/>
  <c r="L7" i="33"/>
  <c r="B7" i="33"/>
  <c r="DH7" i="33"/>
  <c r="DM7" i="33"/>
  <c r="G7" i="33"/>
  <c r="H41" i="29" l="1"/>
  <c r="H51" i="29"/>
  <c r="H56" i="29"/>
  <c r="H61" i="29"/>
  <c r="G51" i="29"/>
  <c r="G56" i="29"/>
  <c r="G61" i="29"/>
  <c r="G41" i="29"/>
  <c r="H37" i="29"/>
  <c r="H47" i="29"/>
  <c r="H52" i="29"/>
  <c r="H57" i="29"/>
  <c r="G47" i="29"/>
  <c r="G52" i="29"/>
  <c r="G57" i="29"/>
  <c r="G37" i="29"/>
  <c r="H39" i="29"/>
  <c r="H49" i="29"/>
  <c r="H54" i="29"/>
  <c r="H59" i="29"/>
  <c r="G49" i="29"/>
  <c r="G54" i="29"/>
  <c r="G59" i="29"/>
  <c r="G39" i="29"/>
  <c r="H40" i="29"/>
  <c r="H50" i="29"/>
  <c r="H55" i="29"/>
  <c r="H60" i="29"/>
  <c r="G50" i="29"/>
  <c r="G55" i="29"/>
  <c r="G60" i="29"/>
  <c r="G40" i="29"/>
  <c r="H6" i="29"/>
  <c r="H11" i="29"/>
  <c r="H16" i="29"/>
  <c r="G11" i="29"/>
  <c r="G16" i="29"/>
  <c r="G6" i="29"/>
  <c r="H3" i="29"/>
  <c r="H8" i="29"/>
  <c r="H13" i="29"/>
  <c r="G8" i="29"/>
  <c r="G13" i="29"/>
  <c r="G3" i="29"/>
  <c r="H2" i="29"/>
  <c r="H7" i="29"/>
  <c r="H12" i="29"/>
  <c r="G7" i="29"/>
  <c r="G12" i="29"/>
  <c r="G2" i="29"/>
  <c r="H4" i="29"/>
  <c r="H9" i="29"/>
  <c r="H14" i="29"/>
  <c r="G9" i="29"/>
  <c r="G14" i="29"/>
  <c r="G4" i="29"/>
  <c r="H5" i="29"/>
  <c r="H10" i="29"/>
  <c r="H15" i="29"/>
  <c r="G10" i="29"/>
  <c r="G15" i="29"/>
  <c r="G5" i="29"/>
  <c r="H21" i="29"/>
  <c r="H26" i="29"/>
  <c r="H31" i="29"/>
  <c r="H36" i="29"/>
  <c r="G26" i="29"/>
  <c r="G31" i="29"/>
  <c r="G36" i="29"/>
  <c r="G21" i="29"/>
  <c r="DM16" i="33" l="1"/>
  <c r="DW16" i="33"/>
  <c r="L16" i="33"/>
  <c r="BE16" i="33"/>
  <c r="BT16" i="33"/>
  <c r="G16" i="33"/>
  <c r="DR16" i="33"/>
  <c r="Q16" i="33"/>
  <c r="BJ16" i="33"/>
  <c r="BO16" i="33"/>
  <c r="DH16" i="33"/>
  <c r="B16" i="33"/>
  <c r="I30" i="30" l="1"/>
  <c r="G4" i="30" l="1"/>
  <c r="H4" i="30" s="1"/>
  <c r="G2" i="30"/>
  <c r="H2" i="30" s="1"/>
  <c r="I4" i="30"/>
  <c r="K4" i="30" s="1"/>
  <c r="J2" i="30"/>
  <c r="K2" i="30" s="1"/>
  <c r="F8" i="29"/>
  <c r="J8" i="29" s="1"/>
  <c r="F9" i="29"/>
  <c r="J9" i="29" s="1"/>
  <c r="F10" i="29"/>
  <c r="J10" i="29" s="1"/>
  <c r="F11" i="29"/>
  <c r="J11" i="29" s="1"/>
  <c r="F7" i="29"/>
  <c r="J7" i="29" s="1"/>
  <c r="F47" i="29"/>
  <c r="J47" i="29" s="1"/>
  <c r="F48" i="29"/>
  <c r="F49" i="29"/>
  <c r="J49" i="29" s="1"/>
  <c r="F50" i="29"/>
  <c r="J50" i="29" s="1"/>
  <c r="F51" i="29"/>
  <c r="J51" i="29" s="1"/>
  <c r="E52" i="29"/>
  <c r="I52" i="29" s="1"/>
  <c r="E56" i="29"/>
  <c r="I56" i="29" s="1"/>
  <c r="E53" i="29"/>
  <c r="E54" i="29"/>
  <c r="I54" i="29" s="1"/>
  <c r="E55" i="29"/>
  <c r="I55" i="29" s="1"/>
  <c r="E58" i="29"/>
  <c r="E59" i="29"/>
  <c r="I59" i="29" s="1"/>
  <c r="E60" i="29"/>
  <c r="I60" i="29" s="1"/>
  <c r="E61" i="29"/>
  <c r="I61" i="29" s="1"/>
  <c r="E57" i="29"/>
  <c r="I57" i="29" s="1"/>
  <c r="E7" i="29"/>
  <c r="I7" i="29" s="1"/>
  <c r="E11" i="29"/>
  <c r="I11" i="29" s="1"/>
  <c r="E8" i="29"/>
  <c r="I8" i="29" s="1"/>
  <c r="E9" i="29"/>
  <c r="I9" i="29" s="1"/>
  <c r="E10" i="29"/>
  <c r="I10" i="29" s="1"/>
  <c r="F53" i="29"/>
  <c r="F54" i="29"/>
  <c r="J54" i="29" s="1"/>
  <c r="F55" i="29"/>
  <c r="J55" i="29" s="1"/>
  <c r="F56" i="29"/>
  <c r="J56" i="29" s="1"/>
  <c r="F52" i="29"/>
  <c r="J52" i="29" s="1"/>
  <c r="F15" i="29"/>
  <c r="J15" i="29" s="1"/>
  <c r="F16" i="29"/>
  <c r="J16" i="29" s="1"/>
  <c r="F12" i="29"/>
  <c r="J12" i="29" s="1"/>
  <c r="F13" i="29"/>
  <c r="J13" i="29" s="1"/>
  <c r="F14" i="29"/>
  <c r="J14" i="29" s="1"/>
  <c r="F60" i="29"/>
  <c r="J60" i="29" s="1"/>
  <c r="F61" i="29"/>
  <c r="J61" i="29" s="1"/>
  <c r="F59" i="29"/>
  <c r="J59" i="29" s="1"/>
  <c r="F57" i="29"/>
  <c r="J57" i="29" s="1"/>
  <c r="F58" i="29"/>
  <c r="E13" i="29"/>
  <c r="I13" i="29" s="1"/>
  <c r="E14" i="29"/>
  <c r="I14" i="29" s="1"/>
  <c r="E15" i="29"/>
  <c r="I15" i="29" s="1"/>
  <c r="E16" i="29"/>
  <c r="I16" i="29" s="1"/>
  <c r="E12" i="29"/>
  <c r="I12" i="29" s="1"/>
  <c r="E50" i="29"/>
  <c r="I50" i="29" s="1"/>
  <c r="E51" i="29"/>
  <c r="I51" i="29" s="1"/>
  <c r="E47" i="29"/>
  <c r="I47" i="29" s="1"/>
  <c r="E48" i="29"/>
  <c r="E49" i="29"/>
  <c r="I49" i="29" s="1"/>
  <c r="I29" i="30"/>
  <c r="I28" i="30"/>
  <c r="I32" i="30" l="1"/>
  <c r="G7" i="30" s="1"/>
  <c r="H7" i="30" s="1"/>
  <c r="I7" i="30"/>
  <c r="K7" i="30" s="1"/>
  <c r="G10" i="30"/>
  <c r="H10" i="30" s="1"/>
  <c r="G8" i="30"/>
  <c r="H8" i="30" s="1"/>
  <c r="G13" i="30"/>
  <c r="H13" i="30" s="1"/>
  <c r="G11" i="30"/>
  <c r="H11" i="30" s="1"/>
  <c r="J8" i="30"/>
  <c r="K8" i="30" s="1"/>
  <c r="I10" i="30"/>
  <c r="K10" i="30" s="1"/>
  <c r="J11" i="30"/>
  <c r="K11" i="30" s="1"/>
  <c r="I13" i="30"/>
  <c r="K13" i="30" s="1"/>
  <c r="G25" i="29"/>
  <c r="G30" i="29"/>
  <c r="G35" i="29"/>
  <c r="G20" i="29"/>
  <c r="H35" i="29"/>
  <c r="H30" i="29"/>
  <c r="H20" i="29"/>
  <c r="H25" i="29"/>
  <c r="H33" i="29"/>
  <c r="H18" i="29"/>
  <c r="H28" i="29"/>
  <c r="H23" i="29"/>
  <c r="H32" i="29"/>
  <c r="H27" i="29"/>
  <c r="H17" i="29"/>
  <c r="H22" i="29"/>
  <c r="H34" i="29"/>
  <c r="H29" i="29"/>
  <c r="H19" i="29"/>
  <c r="H24" i="29"/>
  <c r="G22" i="29"/>
  <c r="G27" i="29"/>
  <c r="G32" i="29"/>
  <c r="G17" i="29"/>
  <c r="G23" i="29"/>
  <c r="G28" i="29"/>
  <c r="G33" i="29"/>
  <c r="G18" i="29"/>
  <c r="G24" i="29"/>
  <c r="G29" i="29"/>
  <c r="G34" i="29"/>
  <c r="G19" i="29"/>
  <c r="E27" i="29" l="1"/>
  <c r="I27" i="29" s="1"/>
  <c r="E31" i="29"/>
  <c r="I31" i="29" s="1"/>
  <c r="E28" i="29"/>
  <c r="I28" i="29" s="1"/>
  <c r="E29" i="29"/>
  <c r="I29" i="29" s="1"/>
  <c r="E30" i="29"/>
  <c r="I30" i="29" s="1"/>
  <c r="E33" i="29"/>
  <c r="I33" i="29" s="1"/>
  <c r="E34" i="29"/>
  <c r="I34" i="29" s="1"/>
  <c r="E35" i="29"/>
  <c r="I35" i="29" s="1"/>
  <c r="E36" i="29"/>
  <c r="I36" i="29" s="1"/>
  <c r="E32" i="29"/>
  <c r="I32" i="29" s="1"/>
  <c r="E25" i="29"/>
  <c r="I25" i="29" s="1"/>
  <c r="E26" i="29"/>
  <c r="I26" i="29" s="1"/>
  <c r="E22" i="29"/>
  <c r="I22" i="29" s="1"/>
  <c r="E24" i="29"/>
  <c r="I24" i="29" s="1"/>
  <c r="E23" i="29"/>
  <c r="I23" i="29" s="1"/>
  <c r="F28" i="29" l="1"/>
  <c r="J28" i="29" s="1"/>
  <c r="F29" i="29"/>
  <c r="J29" i="29" s="1"/>
  <c r="F30" i="29"/>
  <c r="J30" i="29" s="1"/>
  <c r="F31" i="29"/>
  <c r="J31" i="29" s="1"/>
  <c r="F27" i="29"/>
  <c r="J27" i="29" s="1"/>
  <c r="F22" i="29"/>
  <c r="J22" i="29" s="1"/>
  <c r="F23" i="29"/>
  <c r="J23" i="29" s="1"/>
  <c r="F24" i="29"/>
  <c r="J24" i="29" s="1"/>
  <c r="F25" i="29"/>
  <c r="J25" i="29" s="1"/>
  <c r="F26" i="29"/>
  <c r="J26" i="29" s="1"/>
  <c r="F35" i="29"/>
  <c r="J35" i="29" s="1"/>
  <c r="F36" i="29"/>
  <c r="J36" i="29" s="1"/>
  <c r="F34" i="29"/>
  <c r="J34" i="29" s="1"/>
  <c r="F32" i="29"/>
  <c r="J32" i="29" s="1"/>
  <c r="F33" i="29"/>
  <c r="J33" i="29" s="1"/>
  <c r="E18" i="29" l="1"/>
  <c r="I18" i="29" s="1"/>
  <c r="E19" i="29"/>
  <c r="I19" i="29" s="1"/>
  <c r="E20" i="29"/>
  <c r="I20" i="29" s="1"/>
  <c r="E21" i="29"/>
  <c r="I21" i="29" s="1"/>
  <c r="E17" i="29"/>
  <c r="I17" i="29" s="1"/>
  <c r="F2" i="29" l="1"/>
  <c r="J2" i="29" s="1"/>
  <c r="F3" i="29"/>
  <c r="J3" i="29" s="1"/>
  <c r="F4" i="29"/>
  <c r="J4" i="29" s="1"/>
  <c r="F5" i="29"/>
  <c r="J5" i="29" s="1"/>
  <c r="F6" i="29"/>
  <c r="J6" i="29" s="1"/>
  <c r="E38" i="29" l="1"/>
  <c r="E39" i="29"/>
  <c r="I39" i="29" s="1"/>
  <c r="E40" i="29"/>
  <c r="I40" i="29" s="1"/>
  <c r="E41" i="29"/>
  <c r="I41" i="29" s="1"/>
  <c r="E37" i="29"/>
  <c r="I37" i="29" s="1"/>
  <c r="E5" i="29"/>
  <c r="I5" i="29" s="1"/>
  <c r="E6" i="29"/>
  <c r="I6" i="29" s="1"/>
  <c r="E2" i="29"/>
  <c r="I2" i="29" s="1"/>
  <c r="E4" i="29"/>
  <c r="I4" i="29" s="1"/>
  <c r="E3" i="29"/>
  <c r="I3" i="29" s="1"/>
  <c r="F38" i="29"/>
  <c r="F17" i="29" l="1"/>
  <c r="J17" i="29" s="1"/>
  <c r="F21" i="29"/>
  <c r="J21" i="29" s="1"/>
  <c r="F18" i="29"/>
  <c r="J18" i="29" s="1"/>
  <c r="F19" i="29"/>
  <c r="J19" i="29" s="1"/>
  <c r="F20" i="29"/>
  <c r="J20" i="29" s="1"/>
  <c r="F37" i="29"/>
  <c r="J37" i="29" s="1"/>
  <c r="F39" i="29"/>
  <c r="J39" i="29" s="1"/>
  <c r="F41" i="29"/>
  <c r="J41" i="29" s="1"/>
  <c r="F40" i="29"/>
  <c r="J40" i="29" s="1"/>
  <c r="L9" i="33" l="1"/>
  <c r="DM9" i="33"/>
  <c r="Q9" i="33"/>
  <c r="DR9" i="33"/>
  <c r="BJ9" i="33"/>
  <c r="BT9" i="33"/>
  <c r="BO9" i="33"/>
  <c r="DW9" i="33"/>
  <c r="G9" i="33"/>
  <c r="B9" i="33"/>
  <c r="BE9" i="33"/>
  <c r="DH9" i="33"/>
  <c r="BO14" i="33" l="1"/>
  <c r="BO15" i="33"/>
  <c r="Q14" i="33"/>
  <c r="Q15" i="33"/>
  <c r="BT14" i="33"/>
  <c r="BT15" i="33"/>
  <c r="G14" i="33"/>
  <c r="G15" i="33"/>
  <c r="DR14" i="33"/>
  <c r="DR15" i="33"/>
  <c r="L15" i="33"/>
  <c r="L14" i="33"/>
  <c r="DW14" i="33"/>
  <c r="DW15" i="33"/>
  <c r="BJ15" i="33"/>
  <c r="BJ14" i="33"/>
  <c r="DM14" i="33"/>
  <c r="DM15" i="33"/>
  <c r="BE14" i="33"/>
  <c r="BE15" i="33"/>
  <c r="DH15" i="33"/>
  <c r="DH14" i="33"/>
  <c r="B14" i="33"/>
  <c r="B15" i="33"/>
  <c r="DW17" i="33" l="1"/>
  <c r="W63" i="34" s="1"/>
  <c r="DR17" i="33"/>
  <c r="W58" i="34" s="1"/>
  <c r="DM17" i="33"/>
  <c r="W53" i="34" s="1"/>
  <c r="BE17" i="33"/>
  <c r="N48" i="34" s="1"/>
  <c r="Q17" i="33"/>
  <c r="D63" i="34" s="1"/>
  <c r="BT17" i="33"/>
  <c r="N63" i="34" s="1"/>
  <c r="BO17" i="33"/>
  <c r="N58" i="34" s="1"/>
  <c r="B17" i="33"/>
  <c r="D48" i="34" s="1"/>
  <c r="L17" i="33"/>
  <c r="D58" i="34" s="1"/>
  <c r="G17" i="33"/>
  <c r="D53" i="34" s="1"/>
  <c r="DH17" i="33"/>
  <c r="W48" i="34" s="1"/>
  <c r="BJ17" i="33"/>
  <c r="N53" i="34" s="1"/>
  <c r="F44" i="28"/>
  <c r="X44" i="28"/>
  <c r="Q45" i="28"/>
  <c r="U45" i="28"/>
  <c r="AD45" i="28"/>
  <c r="F45" i="28"/>
  <c r="AE44" i="28"/>
  <c r="Z44" i="28"/>
  <c r="AB44" i="28"/>
  <c r="AB45" i="28"/>
  <c r="P46" i="28"/>
  <c r="R45" i="28"/>
  <c r="X45" i="28"/>
  <c r="R46" i="28"/>
  <c r="AC45" i="28"/>
  <c r="F46" i="28"/>
  <c r="Q46" i="28"/>
  <c r="Z45" i="28"/>
  <c r="U44" i="28"/>
  <c r="L45" i="28"/>
  <c r="T44" i="28"/>
  <c r="M45" i="28"/>
  <c r="Z46" i="28"/>
  <c r="T46" i="28"/>
  <c r="K45" i="28"/>
  <c r="O44" i="28"/>
  <c r="H44" i="28"/>
  <c r="Y44" i="28"/>
  <c r="W44" i="28"/>
  <c r="AD46" i="28"/>
  <c r="L46" i="28"/>
  <c r="W45" i="28"/>
  <c r="AF45" i="28"/>
  <c r="P45" i="28"/>
  <c r="AA44" i="28"/>
  <c r="K44" i="28"/>
  <c r="S44" i="28"/>
  <c r="AB46" i="28"/>
  <c r="S45" i="28"/>
  <c r="AC42" i="28"/>
  <c r="U42" i="28"/>
  <c r="L42" i="28"/>
  <c r="F42" i="28"/>
  <c r="Q42" i="28"/>
  <c r="S46" i="28"/>
  <c r="K46" i="28"/>
  <c r="H46" i="28"/>
  <c r="W46" i="28"/>
  <c r="N46" i="28"/>
  <c r="AF46" i="28"/>
  <c r="Y45" i="28"/>
  <c r="I45" i="28"/>
  <c r="N45" i="28"/>
  <c r="G45" i="28"/>
  <c r="P44" i="28"/>
  <c r="I44" i="28"/>
  <c r="J44" i="28"/>
  <c r="L44" i="28"/>
  <c r="N44" i="28"/>
  <c r="Q44" i="28"/>
  <c r="O45" i="28"/>
  <c r="AA45" i="28"/>
  <c r="E45" i="28"/>
  <c r="M44" i="28"/>
  <c r="E46" i="28"/>
  <c r="AE46" i="28"/>
  <c r="AC44" i="28"/>
  <c r="H42" i="28"/>
  <c r="V46" i="28"/>
  <c r="J46" i="28"/>
  <c r="Y46" i="28"/>
  <c r="AF44" i="28"/>
  <c r="E44" i="28"/>
  <c r="M46" i="28"/>
  <c r="G46" i="28"/>
  <c r="AD44" i="28"/>
  <c r="V44" i="28"/>
  <c r="AA46" i="28"/>
  <c r="AE45" i="28"/>
  <c r="U46" i="28"/>
  <c r="AC46" i="28"/>
  <c r="J45" i="28"/>
  <c r="R44" i="28"/>
  <c r="T45" i="28"/>
  <c r="T42" i="28"/>
  <c r="AF42" i="28"/>
  <c r="G44" i="28"/>
  <c r="I46" i="28"/>
  <c r="X46" i="28"/>
  <c r="O46" i="28"/>
  <c r="V45" i="28"/>
  <c r="H45" i="28"/>
  <c r="AD42" i="28"/>
  <c r="X42" i="28"/>
  <c r="Y42" i="28"/>
  <c r="Z42" i="28"/>
  <c r="K42" i="28"/>
  <c r="R42" i="28"/>
  <c r="G42" i="28"/>
  <c r="AA42" i="28"/>
  <c r="I42" i="28"/>
  <c r="E42" i="28"/>
  <c r="O42" i="28"/>
  <c r="P42" i="28"/>
  <c r="AB42" i="28"/>
  <c r="W42" i="28"/>
  <c r="S42" i="28"/>
  <c r="AE42" i="28"/>
  <c r="J42" i="28"/>
  <c r="V42" i="28"/>
  <c r="M42" i="28"/>
  <c r="N42" i="28"/>
  <c r="BX16" i="33" l="1"/>
  <c r="DZ16" i="33"/>
  <c r="U16" i="33"/>
  <c r="BV16" i="33"/>
  <c r="T16" i="33"/>
  <c r="EA16" i="33"/>
  <c r="S16" i="33"/>
  <c r="DY16" i="33"/>
  <c r="BW16" i="33"/>
  <c r="O16" i="33"/>
  <c r="P16" i="33"/>
  <c r="BS16" i="33"/>
  <c r="DV16" i="33"/>
  <c r="BR16" i="33"/>
  <c r="BQ16" i="33"/>
  <c r="DU16" i="33"/>
  <c r="DT16" i="33"/>
  <c r="N16" i="33"/>
  <c r="DO16" i="33"/>
  <c r="I16" i="33"/>
  <c r="K16" i="33"/>
  <c r="BM16" i="33"/>
  <c r="DP16" i="33"/>
  <c r="J16" i="33"/>
  <c r="DQ16" i="33"/>
  <c r="BL16" i="33"/>
  <c r="BN16" i="33"/>
  <c r="D16" i="33"/>
  <c r="F16" i="33"/>
  <c r="BG16" i="33"/>
  <c r="DK16" i="33"/>
  <c r="DL16" i="33"/>
  <c r="E16" i="33"/>
  <c r="DJ16" i="33"/>
  <c r="BH16" i="33"/>
  <c r="BI16" i="33"/>
  <c r="O11" i="33"/>
  <c r="U10" i="33"/>
  <c r="U8" i="33"/>
  <c r="U6" i="33"/>
  <c r="U9" i="33"/>
  <c r="U7" i="33"/>
  <c r="P8" i="33"/>
  <c r="P7" i="33"/>
  <c r="P6" i="33"/>
  <c r="P9" i="33"/>
  <c r="DV13" i="33"/>
  <c r="BI12" i="33"/>
  <c r="F13" i="33"/>
  <c r="EA10" i="33"/>
  <c r="BS13" i="33"/>
  <c r="BI11" i="33"/>
  <c r="BX13" i="33"/>
  <c r="P13" i="33"/>
  <c r="DQ12" i="33"/>
  <c r="BN11" i="33"/>
  <c r="BX10" i="33"/>
  <c r="P10" i="33"/>
  <c r="U12" i="33"/>
  <c r="BS10" i="33"/>
  <c r="BS6" i="33"/>
  <c r="BS9" i="33"/>
  <c r="BS7" i="33"/>
  <c r="BS8" i="33"/>
  <c r="DQ11" i="33"/>
  <c r="BN7" i="33"/>
  <c r="BN6" i="33"/>
  <c r="BN9" i="33"/>
  <c r="BN8" i="33"/>
  <c r="K11" i="33"/>
  <c r="F12" i="33"/>
  <c r="BN10" i="33"/>
  <c r="K10" i="33"/>
  <c r="BI10" i="33"/>
  <c r="DL9" i="33"/>
  <c r="DL6" i="33"/>
  <c r="DL7" i="33"/>
  <c r="DL8" i="33"/>
  <c r="DL12" i="33"/>
  <c r="BX9" i="33"/>
  <c r="BX7" i="33"/>
  <c r="BX6" i="33"/>
  <c r="BX8" i="33"/>
  <c r="U11" i="33"/>
  <c r="P12" i="33"/>
  <c r="DV6" i="33"/>
  <c r="DV9" i="33"/>
  <c r="DV8" i="33"/>
  <c r="DV7" i="33"/>
  <c r="DV10" i="33"/>
  <c r="DQ7" i="33"/>
  <c r="DQ9" i="33"/>
  <c r="DQ8" i="33"/>
  <c r="DQ6" i="33"/>
  <c r="DL13" i="33"/>
  <c r="EA11" i="33"/>
  <c r="P11" i="33"/>
  <c r="BS11" i="33"/>
  <c r="F11" i="33"/>
  <c r="U13" i="33"/>
  <c r="BX11" i="33"/>
  <c r="BN12" i="33"/>
  <c r="BN13" i="33"/>
  <c r="F8" i="33"/>
  <c r="F7" i="33"/>
  <c r="F9" i="33"/>
  <c r="F6" i="33"/>
  <c r="K6" i="33"/>
  <c r="K8" i="33"/>
  <c r="K7" i="33"/>
  <c r="K9" i="33"/>
  <c r="BX12" i="33"/>
  <c r="K13" i="33"/>
  <c r="DL11" i="33"/>
  <c r="EA12" i="33"/>
  <c r="EA13" i="33"/>
  <c r="EA9" i="33"/>
  <c r="EA7" i="33"/>
  <c r="EA8" i="33"/>
  <c r="EA6" i="33"/>
  <c r="DV12" i="33"/>
  <c r="K12" i="33"/>
  <c r="F10" i="33"/>
  <c r="BI9" i="33"/>
  <c r="BI7" i="33"/>
  <c r="BI6" i="33"/>
  <c r="BI8" i="33"/>
  <c r="BS12" i="33"/>
  <c r="DQ13" i="33"/>
  <c r="DV11" i="33"/>
  <c r="DQ10" i="33"/>
  <c r="BI13" i="33"/>
  <c r="DL10" i="33"/>
  <c r="BR11" i="33"/>
  <c r="BM12" i="33"/>
  <c r="DK12" i="33"/>
  <c r="T9" i="33"/>
  <c r="T8" i="33"/>
  <c r="T7" i="33"/>
  <c r="T6" i="33"/>
  <c r="E11" i="33"/>
  <c r="DZ9" i="33"/>
  <c r="DZ8" i="33"/>
  <c r="DZ7" i="33"/>
  <c r="DZ6" i="33"/>
  <c r="BH11" i="33"/>
  <c r="O13" i="33"/>
  <c r="DU6" i="33"/>
  <c r="DU9" i="33"/>
  <c r="DU8" i="33"/>
  <c r="DU7" i="33"/>
  <c r="J12" i="33"/>
  <c r="J11" i="33"/>
  <c r="BR13" i="33"/>
  <c r="DP13" i="33"/>
  <c r="DP11" i="33"/>
  <c r="BM10" i="33"/>
  <c r="DP12" i="33"/>
  <c r="DP8" i="33"/>
  <c r="DP9" i="33"/>
  <c r="DP7" i="33"/>
  <c r="DP6" i="33"/>
  <c r="BM8" i="33"/>
  <c r="BM9" i="33"/>
  <c r="BM6" i="33"/>
  <c r="BM7" i="33"/>
  <c r="BM11" i="33"/>
  <c r="E13" i="33"/>
  <c r="DZ13" i="33"/>
  <c r="DZ11" i="33"/>
  <c r="DZ12" i="33"/>
  <c r="O10" i="33"/>
  <c r="DU13" i="33"/>
  <c r="E10" i="33"/>
  <c r="BH7" i="33"/>
  <c r="BH8" i="33"/>
  <c r="BH6" i="33"/>
  <c r="BH9" i="33"/>
  <c r="T13" i="33"/>
  <c r="T11" i="33"/>
  <c r="T12" i="33"/>
  <c r="BR10" i="33"/>
  <c r="J10" i="33"/>
  <c r="E12" i="33"/>
  <c r="BW13" i="33"/>
  <c r="BW7" i="33"/>
  <c r="BW9" i="33"/>
  <c r="BW8" i="33"/>
  <c r="BW6" i="33"/>
  <c r="BR12" i="33"/>
  <c r="J7" i="33"/>
  <c r="J8" i="33"/>
  <c r="J6" i="33"/>
  <c r="J9" i="33"/>
  <c r="DK8" i="33"/>
  <c r="DK7" i="33"/>
  <c r="DK6" i="33"/>
  <c r="DK9" i="33"/>
  <c r="DK13" i="33"/>
  <c r="DZ10" i="33"/>
  <c r="DU10" i="33"/>
  <c r="DK10" i="33"/>
  <c r="BH10" i="33"/>
  <c r="E6" i="33"/>
  <c r="E8" i="33"/>
  <c r="E9" i="33"/>
  <c r="E7" i="33"/>
  <c r="BH13" i="33"/>
  <c r="T10" i="33"/>
  <c r="BW10" i="33"/>
  <c r="DU12" i="33"/>
  <c r="DP10" i="33"/>
  <c r="J13" i="33"/>
  <c r="BM13" i="33"/>
  <c r="DK11" i="33"/>
  <c r="O8" i="33"/>
  <c r="O9" i="33"/>
  <c r="O7" i="33"/>
  <c r="O6" i="33"/>
  <c r="BH12" i="33"/>
  <c r="BW11" i="33"/>
  <c r="BW12" i="33"/>
  <c r="DU11" i="33"/>
  <c r="O12" i="33"/>
  <c r="BR6" i="33"/>
  <c r="BR9" i="33"/>
  <c r="BR8" i="33"/>
  <c r="BR7" i="33"/>
  <c r="S10" i="33"/>
  <c r="DT13" i="33"/>
  <c r="BL11" i="33"/>
  <c r="BV6" i="33"/>
  <c r="BV9" i="33"/>
  <c r="BV8" i="33"/>
  <c r="BV7" i="33"/>
  <c r="BQ12" i="33"/>
  <c r="I13" i="33"/>
  <c r="DY6" i="33"/>
  <c r="DY9" i="33"/>
  <c r="DY8" i="33"/>
  <c r="DY7" i="33"/>
  <c r="S13" i="33"/>
  <c r="DT12" i="33"/>
  <c r="BL10" i="33"/>
  <c r="I10" i="33"/>
  <c r="DO8" i="33"/>
  <c r="DO6" i="33"/>
  <c r="DO9" i="33"/>
  <c r="DO7" i="33"/>
  <c r="DJ11" i="33"/>
  <c r="BL8" i="33"/>
  <c r="BL9" i="33"/>
  <c r="BL7" i="33"/>
  <c r="BL6" i="33"/>
  <c r="DY13" i="33"/>
  <c r="BV13" i="33"/>
  <c r="S12" i="33"/>
  <c r="N12" i="33"/>
  <c r="N10" i="33"/>
  <c r="DJ13" i="33"/>
  <c r="DJ10" i="33"/>
  <c r="N11" i="33"/>
  <c r="BV10" i="33"/>
  <c r="I12" i="33"/>
  <c r="I7" i="33"/>
  <c r="I8" i="33"/>
  <c r="I9" i="33"/>
  <c r="I6" i="33"/>
  <c r="BV11" i="33"/>
  <c r="S11" i="33"/>
  <c r="BV12" i="33"/>
  <c r="DY10" i="33"/>
  <c r="N8" i="33"/>
  <c r="N7" i="33"/>
  <c r="N6" i="33"/>
  <c r="N9" i="33"/>
  <c r="BL13" i="33"/>
  <c r="DJ8" i="33"/>
  <c r="DJ9" i="33"/>
  <c r="DJ6" i="33"/>
  <c r="DJ7" i="33"/>
  <c r="BG10" i="33"/>
  <c r="DO10" i="33"/>
  <c r="S8" i="33"/>
  <c r="S7" i="33"/>
  <c r="S6" i="33"/>
  <c r="S9" i="33"/>
  <c r="BQ13" i="33"/>
  <c r="BQ10" i="33"/>
  <c r="BG13" i="33"/>
  <c r="DO12" i="33"/>
  <c r="DJ12" i="33"/>
  <c r="D10" i="33"/>
  <c r="D12" i="33"/>
  <c r="D13" i="33"/>
  <c r="DY12" i="33"/>
  <c r="DT9" i="33"/>
  <c r="DT7" i="33"/>
  <c r="DT8" i="33"/>
  <c r="DT6" i="33"/>
  <c r="BG8" i="33"/>
  <c r="BG9" i="33"/>
  <c r="BG6" i="33"/>
  <c r="BG7" i="33"/>
  <c r="BG11" i="33"/>
  <c r="BG12" i="33"/>
  <c r="DY11" i="33"/>
  <c r="DT11" i="33"/>
  <c r="DT10" i="33"/>
  <c r="N13" i="33"/>
  <c r="I11" i="33"/>
  <c r="DO13" i="33"/>
  <c r="D7" i="33"/>
  <c r="D8" i="33"/>
  <c r="D9" i="33"/>
  <c r="D6" i="33"/>
  <c r="D11" i="33"/>
  <c r="BQ9" i="33"/>
  <c r="BQ8" i="33"/>
  <c r="BQ7" i="33"/>
  <c r="BQ6" i="33"/>
  <c r="BQ11" i="33"/>
  <c r="BL12" i="33"/>
  <c r="DO11" i="33"/>
  <c r="BC16" i="33" l="1"/>
  <c r="FI16" i="33"/>
  <c r="DG16" i="33"/>
  <c r="DF16" i="33"/>
  <c r="BD16" i="33"/>
  <c r="FJ16" i="33"/>
  <c r="DC16" i="33"/>
  <c r="DD16" i="33"/>
  <c r="FF16" i="33"/>
  <c r="AZ16" i="33"/>
  <c r="BA16" i="33"/>
  <c r="FG16" i="33"/>
  <c r="FC16" i="33"/>
  <c r="AW16" i="33"/>
  <c r="AX16" i="33"/>
  <c r="FD16" i="33"/>
  <c r="CZ16" i="33"/>
  <c r="DA16" i="33"/>
  <c r="AU16" i="33"/>
  <c r="CW16" i="33"/>
  <c r="EZ16" i="33"/>
  <c r="FA16" i="33"/>
  <c r="AT16" i="33"/>
  <c r="CX16" i="33"/>
  <c r="EX16" i="33"/>
  <c r="AR16" i="33"/>
  <c r="CU16" i="33"/>
  <c r="CT16" i="33"/>
  <c r="AQ16" i="33"/>
  <c r="EW16" i="33"/>
  <c r="CP16" i="33"/>
  <c r="ET16" i="33"/>
  <c r="CR16" i="33"/>
  <c r="ES16" i="33"/>
  <c r="AO16" i="33"/>
  <c r="AM16" i="33"/>
  <c r="EU16" i="33"/>
  <c r="AN16" i="33"/>
  <c r="CQ16" i="33"/>
  <c r="EO16" i="33"/>
  <c r="AK16" i="33"/>
  <c r="EQ16" i="33"/>
  <c r="EP16" i="33"/>
  <c r="CN16" i="33"/>
  <c r="CM16" i="33"/>
  <c r="AJ16" i="33"/>
  <c r="CL16" i="33"/>
  <c r="AI16" i="33"/>
  <c r="EK16" i="33"/>
  <c r="CJ16" i="33"/>
  <c r="CH16" i="33"/>
  <c r="CI16" i="33"/>
  <c r="EL16" i="33"/>
  <c r="AG16" i="33"/>
  <c r="EM16" i="33"/>
  <c r="AF16" i="33"/>
  <c r="AE16" i="33"/>
  <c r="AC16" i="33"/>
  <c r="Y16" i="33"/>
  <c r="EG16" i="33"/>
  <c r="EC16" i="33"/>
  <c r="CA16" i="33"/>
  <c r="CF16" i="33"/>
  <c r="AA16" i="33"/>
  <c r="CE16" i="33"/>
  <c r="X16" i="33"/>
  <c r="ED16" i="33"/>
  <c r="CD16" i="33"/>
  <c r="W16" i="33"/>
  <c r="AB16" i="33"/>
  <c r="EH16" i="33"/>
  <c r="EI16" i="33"/>
  <c r="BZ16" i="33"/>
  <c r="EE16" i="33"/>
  <c r="CB16" i="33"/>
  <c r="BG15" i="33"/>
  <c r="DV15" i="33"/>
  <c r="BX15" i="33"/>
  <c r="DL15" i="33"/>
  <c r="BN15" i="33"/>
  <c r="EA15" i="33"/>
  <c r="F15" i="33"/>
  <c r="DQ15" i="33"/>
  <c r="BS15" i="33"/>
  <c r="BI15" i="33"/>
  <c r="K15" i="33"/>
  <c r="P15" i="33"/>
  <c r="U15" i="33"/>
  <c r="DZ15" i="33"/>
  <c r="O15" i="33"/>
  <c r="DK15" i="33"/>
  <c r="BW15" i="33"/>
  <c r="BH15" i="33"/>
  <c r="BR15" i="33"/>
  <c r="E15" i="33"/>
  <c r="J15" i="33"/>
  <c r="BM15" i="33"/>
  <c r="DU15" i="33"/>
  <c r="T15" i="33"/>
  <c r="DP15" i="33"/>
  <c r="BL15" i="33"/>
  <c r="BV15" i="33"/>
  <c r="D15" i="33"/>
  <c r="DJ15" i="33"/>
  <c r="N15" i="33"/>
  <c r="S15" i="33"/>
  <c r="DY15" i="33"/>
  <c r="BQ15" i="33"/>
  <c r="DT15" i="33"/>
  <c r="DO15" i="33"/>
  <c r="I15" i="33"/>
  <c r="EO11" i="33"/>
  <c r="CF11" i="33"/>
  <c r="EX12" i="33"/>
  <c r="EG10" i="33"/>
  <c r="CR12" i="33"/>
  <c r="EQ13" i="33"/>
  <c r="AK11" i="33"/>
  <c r="Y13" i="33"/>
  <c r="CB13" i="33"/>
  <c r="EQ11" i="33"/>
  <c r="CN10" i="33"/>
  <c r="AK12" i="33"/>
  <c r="AK13" i="33"/>
  <c r="Y9" i="33"/>
  <c r="Y7" i="33"/>
  <c r="Y8" i="33"/>
  <c r="Y6" i="33"/>
  <c r="AC8" i="33"/>
  <c r="AC7" i="33"/>
  <c r="AC9" i="33"/>
  <c r="AC6" i="33"/>
  <c r="AG7" i="33"/>
  <c r="AG8" i="33"/>
  <c r="AG9" i="33"/>
  <c r="AG6" i="33"/>
  <c r="CB10" i="33"/>
  <c r="AG11" i="33"/>
  <c r="EM8" i="33"/>
  <c r="EM6" i="33"/>
  <c r="EM9" i="33"/>
  <c r="EM7" i="33"/>
  <c r="EM13" i="33"/>
  <c r="AG10" i="33"/>
  <c r="EI10" i="33"/>
  <c r="EU13" i="33"/>
  <c r="AO8" i="33"/>
  <c r="AO6" i="33"/>
  <c r="AO7" i="33"/>
  <c r="AO9" i="33"/>
  <c r="AO12" i="33"/>
  <c r="CN13" i="33"/>
  <c r="AG12" i="33"/>
  <c r="CF12" i="33"/>
  <c r="AO11" i="33"/>
  <c r="AK6" i="33"/>
  <c r="AK9" i="33"/>
  <c r="AK8" i="33"/>
  <c r="AK7" i="33"/>
  <c r="EE8" i="33"/>
  <c r="EE7" i="33"/>
  <c r="EE6" i="33"/>
  <c r="EE9" i="33"/>
  <c r="EU6" i="33"/>
  <c r="EU9" i="33"/>
  <c r="EU7" i="33"/>
  <c r="EU8" i="33"/>
  <c r="CJ10" i="33"/>
  <c r="EM10" i="33"/>
  <c r="CJ13" i="33"/>
  <c r="CF13" i="33"/>
  <c r="CB12" i="33"/>
  <c r="CR10" i="33"/>
  <c r="CN11" i="33"/>
  <c r="EQ7" i="33"/>
  <c r="EQ6" i="33"/>
  <c r="EQ9" i="33"/>
  <c r="EQ8" i="33"/>
  <c r="Y12" i="33"/>
  <c r="Y10" i="33"/>
  <c r="EU10" i="33"/>
  <c r="EU12" i="33"/>
  <c r="EQ10" i="33"/>
  <c r="CN12" i="33"/>
  <c r="CJ8" i="33"/>
  <c r="CJ9" i="33"/>
  <c r="CJ7" i="33"/>
  <c r="CJ6" i="33"/>
  <c r="EM12" i="33"/>
  <c r="EI13" i="33"/>
  <c r="CB8" i="33"/>
  <c r="CB9" i="33"/>
  <c r="CB7" i="33"/>
  <c r="CB6" i="33"/>
  <c r="CJ12" i="33"/>
  <c r="AC13" i="33"/>
  <c r="CF10" i="33"/>
  <c r="AC11" i="33"/>
  <c r="EE11" i="33"/>
  <c r="CB11" i="33"/>
  <c r="EU11" i="33"/>
  <c r="AO10" i="33"/>
  <c r="AO13" i="33"/>
  <c r="EQ12" i="33"/>
  <c r="AG13" i="33"/>
  <c r="AC10" i="33"/>
  <c r="CF9" i="33"/>
  <c r="CF8" i="33"/>
  <c r="CF6" i="33"/>
  <c r="CF7" i="33"/>
  <c r="EE13" i="33"/>
  <c r="CR11" i="33"/>
  <c r="CR13" i="33"/>
  <c r="AK10" i="33"/>
  <c r="EM11" i="33"/>
  <c r="EI12" i="33"/>
  <c r="AC12" i="33"/>
  <c r="Y11" i="33"/>
  <c r="CR6" i="33"/>
  <c r="CR9" i="33"/>
  <c r="CR7" i="33"/>
  <c r="CR8" i="33"/>
  <c r="CN7" i="33"/>
  <c r="CN9" i="33"/>
  <c r="CN6" i="33"/>
  <c r="CN8" i="33"/>
  <c r="CJ11" i="33"/>
  <c r="EI11" i="33"/>
  <c r="EI9" i="33"/>
  <c r="EI8" i="33"/>
  <c r="EI7" i="33"/>
  <c r="EI6" i="33"/>
  <c r="EE12" i="33"/>
  <c r="EE10" i="33"/>
  <c r="CQ11" i="33"/>
  <c r="AJ7" i="33"/>
  <c r="AJ8" i="33"/>
  <c r="AJ9" i="33"/>
  <c r="AJ6" i="33"/>
  <c r="CQ6" i="33"/>
  <c r="EP8" i="33"/>
  <c r="EP9" i="33"/>
  <c r="EP6" i="33"/>
  <c r="EP7" i="33"/>
  <c r="AJ12" i="33"/>
  <c r="CA11" i="33"/>
  <c r="EP12" i="33"/>
  <c r="AF10" i="33"/>
  <c r="CE10" i="33"/>
  <c r="ED11" i="33"/>
  <c r="AN8" i="33"/>
  <c r="AN6" i="33"/>
  <c r="AN9" i="33"/>
  <c r="AN7" i="33"/>
  <c r="AF13" i="33"/>
  <c r="ET6" i="33"/>
  <c r="ET9" i="33"/>
  <c r="ET7" i="33"/>
  <c r="ET8" i="33"/>
  <c r="EP11" i="33"/>
  <c r="EL10" i="33"/>
  <c r="CQ10" i="33"/>
  <c r="CI12" i="33"/>
  <c r="AB12" i="33"/>
  <c r="AB13" i="33"/>
  <c r="EH12" i="33"/>
  <c r="ED13" i="33"/>
  <c r="AF12" i="33"/>
  <c r="CE12" i="33"/>
  <c r="AN13" i="33"/>
  <c r="EP13" i="33"/>
  <c r="AJ13" i="33"/>
  <c r="AF7" i="33"/>
  <c r="AF9" i="33"/>
  <c r="AF8" i="33"/>
  <c r="AF6" i="33"/>
  <c r="EL13" i="33"/>
  <c r="AF11" i="33"/>
  <c r="EH13" i="33"/>
  <c r="CI8" i="33"/>
  <c r="CI9" i="33"/>
  <c r="CI7" i="33"/>
  <c r="CI6" i="33"/>
  <c r="EH10" i="33"/>
  <c r="AB10" i="33"/>
  <c r="CQ13" i="33"/>
  <c r="CQ8" i="33"/>
  <c r="CM10" i="33"/>
  <c r="CE11" i="33"/>
  <c r="EL8" i="33"/>
  <c r="EL9" i="33"/>
  <c r="EL7" i="33"/>
  <c r="EL6" i="33"/>
  <c r="ET10" i="33"/>
  <c r="AN10" i="33"/>
  <c r="CM11" i="33"/>
  <c r="AB11" i="33"/>
  <c r="ED9" i="33"/>
  <c r="ED6" i="33"/>
  <c r="ED7" i="33"/>
  <c r="ED8" i="33"/>
  <c r="AN12" i="33"/>
  <c r="CQ12" i="33"/>
  <c r="ET13" i="33"/>
  <c r="CQ7" i="33"/>
  <c r="CI10" i="33"/>
  <c r="EP10" i="33"/>
  <c r="EL11" i="33"/>
  <c r="X10" i="33"/>
  <c r="ET11" i="33"/>
  <c r="CM12" i="33"/>
  <c r="CI11" i="33"/>
  <c r="AB8" i="33"/>
  <c r="AB9" i="33"/>
  <c r="AB7" i="33"/>
  <c r="AB6" i="33"/>
  <c r="EL12" i="33"/>
  <c r="CA12" i="33"/>
  <c r="CA13" i="33"/>
  <c r="X8" i="33"/>
  <c r="X9" i="33"/>
  <c r="X7" i="33"/>
  <c r="X6" i="33"/>
  <c r="ET12" i="33"/>
  <c r="AN11" i="33"/>
  <c r="CQ9" i="33"/>
  <c r="CM8" i="33"/>
  <c r="CM6" i="33"/>
  <c r="CM7" i="33"/>
  <c r="CM9" i="33"/>
  <c r="CI13" i="33"/>
  <c r="CE13" i="33"/>
  <c r="EH6" i="33"/>
  <c r="EH9" i="33"/>
  <c r="EH8" i="33"/>
  <c r="EH7" i="33"/>
  <c r="EH11" i="33"/>
  <c r="X12" i="33"/>
  <c r="X13" i="33"/>
  <c r="CA9" i="33"/>
  <c r="CA7" i="33"/>
  <c r="CA8" i="33"/>
  <c r="CA6" i="33"/>
  <c r="X11" i="33"/>
  <c r="CM13" i="33"/>
  <c r="AJ11" i="33"/>
  <c r="AJ10" i="33"/>
  <c r="ED12" i="33"/>
  <c r="CE6" i="33"/>
  <c r="CE9" i="33"/>
  <c r="CE7" i="33"/>
  <c r="CE8" i="33"/>
  <c r="ED10" i="33"/>
  <c r="CA10" i="33"/>
  <c r="ES7" i="33"/>
  <c r="ES8" i="33"/>
  <c r="ES9" i="33"/>
  <c r="ES6" i="33"/>
  <c r="AE11" i="33"/>
  <c r="CH9" i="33"/>
  <c r="CH8" i="33"/>
  <c r="AM10" i="33"/>
  <c r="BZ13" i="33"/>
  <c r="ES13" i="33"/>
  <c r="CH12" i="33"/>
  <c r="CD13" i="33"/>
  <c r="BZ10" i="33"/>
  <c r="CP13" i="33"/>
  <c r="AM6" i="33"/>
  <c r="AM7" i="33"/>
  <c r="AM8" i="33"/>
  <c r="AM9" i="33"/>
  <c r="CL13" i="33"/>
  <c r="CD12" i="33"/>
  <c r="W12" i="33"/>
  <c r="EK6" i="33"/>
  <c r="EK9" i="33"/>
  <c r="EK7" i="33"/>
  <c r="EK8" i="33"/>
  <c r="AA13" i="33"/>
  <c r="CP7" i="33"/>
  <c r="CP8" i="33"/>
  <c r="CP9" i="33"/>
  <c r="CP6" i="33"/>
  <c r="CL7" i="33"/>
  <c r="CL9" i="33"/>
  <c r="CL8" i="33"/>
  <c r="CL6" i="33"/>
  <c r="CH6" i="33"/>
  <c r="EK10" i="33"/>
  <c r="BZ8" i="33"/>
  <c r="BZ6" i="33"/>
  <c r="BZ9" i="33"/>
  <c r="BZ7" i="33"/>
  <c r="AI12" i="33"/>
  <c r="AI11" i="33"/>
  <c r="EG11" i="33"/>
  <c r="EO7" i="33"/>
  <c r="EO8" i="33"/>
  <c r="EO9" i="33"/>
  <c r="EO6" i="33"/>
  <c r="AA10" i="33"/>
  <c r="W7" i="33"/>
  <c r="W8" i="33"/>
  <c r="W9" i="33"/>
  <c r="W6" i="33"/>
  <c r="EC8" i="33"/>
  <c r="EC6" i="33"/>
  <c r="EC9" i="33"/>
  <c r="EC7" i="33"/>
  <c r="EO12" i="33"/>
  <c r="AI10" i="33"/>
  <c r="AE12" i="33"/>
  <c r="EK12" i="33"/>
  <c r="CD11" i="33"/>
  <c r="EG12" i="33"/>
  <c r="BZ11" i="33"/>
  <c r="ES11" i="33"/>
  <c r="CP10" i="33"/>
  <c r="AE8" i="33"/>
  <c r="AE7" i="33"/>
  <c r="AE9" i="33"/>
  <c r="AE6" i="33"/>
  <c r="AE13" i="33"/>
  <c r="CH7" i="33"/>
  <c r="BZ12" i="33"/>
  <c r="EC13" i="33"/>
  <c r="W13" i="33"/>
  <c r="CP12" i="33"/>
  <c r="AI13" i="33"/>
  <c r="AM12" i="33"/>
  <c r="CH11" i="33"/>
  <c r="CL10" i="33"/>
  <c r="EC11" i="33"/>
  <c r="EO10" i="33"/>
  <c r="CL11" i="33"/>
  <c r="CD8" i="33"/>
  <c r="CD6" i="33"/>
  <c r="CD7" i="33"/>
  <c r="CD9" i="33"/>
  <c r="AA12" i="33"/>
  <c r="CD10" i="33"/>
  <c r="EG13" i="33"/>
  <c r="W10" i="33"/>
  <c r="ES10" i="33"/>
  <c r="EO13" i="33"/>
  <c r="CL12" i="33"/>
  <c r="AM13" i="33"/>
  <c r="AM11" i="33"/>
  <c r="EK11" i="33"/>
  <c r="EK13" i="33"/>
  <c r="AA11" i="33"/>
  <c r="CH10" i="33"/>
  <c r="AE10" i="33"/>
  <c r="AA9" i="33"/>
  <c r="AA8" i="33"/>
  <c r="AA7" i="33"/>
  <c r="AA6" i="33"/>
  <c r="EC10" i="33"/>
  <c r="W11" i="33"/>
  <c r="ES12" i="33"/>
  <c r="CP11" i="33"/>
  <c r="CH13" i="33"/>
  <c r="AI9" i="33"/>
  <c r="AI6" i="33"/>
  <c r="AI8" i="33"/>
  <c r="AI7" i="33"/>
  <c r="EG6" i="33"/>
  <c r="EG8" i="33"/>
  <c r="EG9" i="33"/>
  <c r="EG7" i="33"/>
  <c r="EC12" i="33"/>
  <c r="BD13" i="33"/>
  <c r="AX13" i="33"/>
  <c r="AR11" i="33"/>
  <c r="AX12" i="33"/>
  <c r="FA12" i="33"/>
  <c r="CX12" i="33"/>
  <c r="DD10" i="33"/>
  <c r="CX13" i="33"/>
  <c r="DA11" i="33"/>
  <c r="FD11" i="33"/>
  <c r="AU13" i="33"/>
  <c r="AR13" i="33"/>
  <c r="CU12" i="33"/>
  <c r="DA13" i="33"/>
  <c r="AX10" i="33"/>
  <c r="BA13" i="33"/>
  <c r="FD13" i="33"/>
  <c r="DA10" i="33"/>
  <c r="CX9" i="33"/>
  <c r="CX7" i="33"/>
  <c r="CX8" i="33"/>
  <c r="CX6" i="33"/>
  <c r="AU11" i="33"/>
  <c r="CU10" i="33"/>
  <c r="DG11" i="33"/>
  <c r="FG13" i="33"/>
  <c r="BA11" i="33"/>
  <c r="AR12" i="33"/>
  <c r="EX11" i="33"/>
  <c r="BA12" i="33"/>
  <c r="DD7" i="33"/>
  <c r="DD6" i="33"/>
  <c r="DD9" i="33"/>
  <c r="DD8" i="33"/>
  <c r="FA9" i="33"/>
  <c r="FA7" i="33"/>
  <c r="FA8" i="33"/>
  <c r="FA6" i="33"/>
  <c r="FD10" i="33"/>
  <c r="FD12" i="33"/>
  <c r="FA13" i="33"/>
  <c r="AU10" i="33"/>
  <c r="EX13" i="33"/>
  <c r="AR10" i="33"/>
  <c r="DG10" i="33"/>
  <c r="DG12" i="33"/>
  <c r="FJ9" i="33"/>
  <c r="FJ8" i="33"/>
  <c r="FJ7" i="33"/>
  <c r="FJ6" i="33"/>
  <c r="BA9" i="33"/>
  <c r="BA8" i="33"/>
  <c r="BA7" i="33"/>
  <c r="BA6" i="33"/>
  <c r="DD12" i="33"/>
  <c r="BD10" i="33"/>
  <c r="FJ10" i="33"/>
  <c r="FJ12" i="33"/>
  <c r="DG13" i="33"/>
  <c r="FG10" i="33"/>
  <c r="CX11" i="33"/>
  <c r="CU13" i="33"/>
  <c r="BD12" i="33"/>
  <c r="DG9" i="33"/>
  <c r="DG6" i="33"/>
  <c r="DG8" i="33"/>
  <c r="DG7" i="33"/>
  <c r="DD11" i="33"/>
  <c r="FG12" i="33"/>
  <c r="BA10" i="33"/>
  <c r="AX11" i="33"/>
  <c r="FG9" i="33"/>
  <c r="FG7" i="33"/>
  <c r="FG6" i="33"/>
  <c r="FG8" i="33"/>
  <c r="DA6" i="33"/>
  <c r="DA7" i="33"/>
  <c r="DA8" i="33"/>
  <c r="DA9" i="33"/>
  <c r="FA10" i="33"/>
  <c r="DA12" i="33"/>
  <c r="AU8" i="33"/>
  <c r="AU6" i="33"/>
  <c r="AU7" i="33"/>
  <c r="AU9" i="33"/>
  <c r="FA11" i="33"/>
  <c r="AR6" i="33"/>
  <c r="AR8" i="33"/>
  <c r="AR7" i="33"/>
  <c r="AR9" i="33"/>
  <c r="EX7" i="33"/>
  <c r="EX9" i="33"/>
  <c r="EX6" i="33"/>
  <c r="EX8" i="33"/>
  <c r="FJ11" i="33"/>
  <c r="BD8" i="33"/>
  <c r="BD9" i="33"/>
  <c r="BD7" i="33"/>
  <c r="BD6" i="33"/>
  <c r="FJ13" i="33"/>
  <c r="AX9" i="33"/>
  <c r="AX6" i="33"/>
  <c r="AX7" i="33"/>
  <c r="AX8" i="33"/>
  <c r="AU12" i="33"/>
  <c r="EX10" i="33"/>
  <c r="BD11" i="33"/>
  <c r="DD13" i="33"/>
  <c r="FG11" i="33"/>
  <c r="FD6" i="33"/>
  <c r="FD9" i="33"/>
  <c r="FD8" i="33"/>
  <c r="FD7" i="33"/>
  <c r="CX10" i="33"/>
  <c r="CU7" i="33"/>
  <c r="CU8" i="33"/>
  <c r="CU9" i="33"/>
  <c r="CU6" i="33"/>
  <c r="CU11" i="33"/>
  <c r="FI11" i="33"/>
  <c r="EZ9" i="33"/>
  <c r="EZ7" i="33"/>
  <c r="EZ8" i="33"/>
  <c r="EZ6" i="33"/>
  <c r="AZ10" i="33"/>
  <c r="AT13" i="33"/>
  <c r="EZ10" i="33"/>
  <c r="AQ12" i="33"/>
  <c r="AQ11" i="33"/>
  <c r="CW13" i="33"/>
  <c r="AT8" i="33"/>
  <c r="AT6" i="33"/>
  <c r="AT9" i="33"/>
  <c r="AT7" i="33"/>
  <c r="CT6" i="33"/>
  <c r="CT9" i="33"/>
  <c r="CT7" i="33"/>
  <c r="CT8" i="33"/>
  <c r="FF11" i="33"/>
  <c r="AW11" i="33"/>
  <c r="DC12" i="33"/>
  <c r="CW12" i="33"/>
  <c r="DF11" i="33"/>
  <c r="AZ6" i="33"/>
  <c r="AZ9" i="33"/>
  <c r="AZ7" i="33"/>
  <c r="AZ8" i="33"/>
  <c r="DC11" i="33"/>
  <c r="CT10" i="33"/>
  <c r="FI6" i="33"/>
  <c r="FI9" i="33"/>
  <c r="FI7" i="33"/>
  <c r="FI8" i="33"/>
  <c r="EW13" i="33"/>
  <c r="DC9" i="33"/>
  <c r="DC8" i="33"/>
  <c r="DC7" i="33"/>
  <c r="DC6" i="33"/>
  <c r="DF12" i="33"/>
  <c r="AZ13" i="33"/>
  <c r="AT12" i="33"/>
  <c r="EZ12" i="33"/>
  <c r="AQ8" i="33"/>
  <c r="AQ9" i="33"/>
  <c r="AQ6" i="33"/>
  <c r="AQ7" i="33"/>
  <c r="FI13" i="33"/>
  <c r="BC12" i="33"/>
  <c r="CZ13" i="33"/>
  <c r="DC10" i="33"/>
  <c r="EW8" i="33"/>
  <c r="EW6" i="33"/>
  <c r="EW9" i="33"/>
  <c r="EW7" i="33"/>
  <c r="AW10" i="33"/>
  <c r="CW10" i="33"/>
  <c r="EW12" i="33"/>
  <c r="FC12" i="33"/>
  <c r="CZ12" i="33"/>
  <c r="FC7" i="33"/>
  <c r="FC8" i="33"/>
  <c r="FC9" i="33"/>
  <c r="FC6" i="33"/>
  <c r="CZ11" i="33"/>
  <c r="FF10" i="33"/>
  <c r="AW13" i="33"/>
  <c r="CW11" i="33"/>
  <c r="AQ10" i="33"/>
  <c r="FF12" i="33"/>
  <c r="FI10" i="33"/>
  <c r="BC11" i="33"/>
  <c r="FF6" i="33"/>
  <c r="FF7" i="33"/>
  <c r="FF8" i="33"/>
  <c r="FF9" i="33"/>
  <c r="EW11" i="33"/>
  <c r="EW10" i="33"/>
  <c r="BC10" i="33"/>
  <c r="DC13" i="33"/>
  <c r="AW6" i="33"/>
  <c r="AW9" i="33"/>
  <c r="AW7" i="33"/>
  <c r="AW8" i="33"/>
  <c r="CZ7" i="33"/>
  <c r="CZ8" i="33"/>
  <c r="CZ9" i="33"/>
  <c r="CZ6" i="33"/>
  <c r="FC11" i="33"/>
  <c r="CZ10" i="33"/>
  <c r="AT10" i="33"/>
  <c r="EZ11" i="33"/>
  <c r="CW9" i="33"/>
  <c r="CW7" i="33"/>
  <c r="CW8" i="33"/>
  <c r="CW6" i="33"/>
  <c r="CT13" i="33"/>
  <c r="CT12" i="33"/>
  <c r="AZ12" i="33"/>
  <c r="BC13" i="33"/>
  <c r="AZ11" i="33"/>
  <c r="AW12" i="33"/>
  <c r="CT11" i="33"/>
  <c r="DF13" i="33"/>
  <c r="DF6" i="33"/>
  <c r="DF9" i="33"/>
  <c r="DF7" i="33"/>
  <c r="DF8" i="33"/>
  <c r="FI12" i="33"/>
  <c r="BC8" i="33"/>
  <c r="BC6" i="33"/>
  <c r="BC9" i="33"/>
  <c r="BC7" i="33"/>
  <c r="DF10" i="33"/>
  <c r="FF13" i="33"/>
  <c r="FC13" i="33"/>
  <c r="FC10" i="33"/>
  <c r="EZ13" i="33"/>
  <c r="AT11" i="33"/>
  <c r="AQ13" i="33"/>
  <c r="CN15" i="33" l="1"/>
  <c r="BC15" i="33"/>
  <c r="FD15" i="33"/>
  <c r="AR15" i="33"/>
  <c r="EX15" i="33"/>
  <c r="CU15" i="33"/>
  <c r="AX15" i="33"/>
  <c r="CX15" i="33"/>
  <c r="BD15" i="33"/>
  <c r="FA15" i="33"/>
  <c r="AU15" i="33"/>
  <c r="DD15" i="33"/>
  <c r="FG15" i="33"/>
  <c r="FJ15" i="33"/>
  <c r="FF15" i="33"/>
  <c r="AZ15" i="33"/>
  <c r="FC15" i="33"/>
  <c r="FI15" i="33"/>
  <c r="AT15" i="33"/>
  <c r="AW15" i="33"/>
  <c r="EW15" i="33"/>
  <c r="CW15" i="33"/>
  <c r="EZ15" i="33"/>
  <c r="CZ15" i="33"/>
  <c r="DC15" i="33"/>
  <c r="CT15" i="33"/>
  <c r="CL15" i="33"/>
  <c r="EQ15" i="33"/>
  <c r="AA15" i="33"/>
  <c r="AB15" i="33"/>
  <c r="AO15" i="33"/>
  <c r="Y15" i="33"/>
  <c r="CB15" i="33"/>
  <c r="EE15" i="33"/>
  <c r="EM15" i="33"/>
  <c r="EI15" i="33"/>
  <c r="CJ15" i="33"/>
  <c r="AG15" i="33"/>
  <c r="AC15" i="33"/>
  <c r="EU15" i="33"/>
  <c r="CM15" i="33"/>
  <c r="CI15" i="33"/>
  <c r="ET15" i="33"/>
  <c r="CA15" i="33"/>
  <c r="AJ15" i="33"/>
  <c r="CE15" i="33"/>
  <c r="CQ15" i="33"/>
  <c r="X15" i="33"/>
  <c r="EP15" i="33"/>
  <c r="EH15" i="33"/>
  <c r="ED15" i="33"/>
  <c r="EL15" i="33"/>
  <c r="AF15" i="33"/>
  <c r="AN15" i="33"/>
  <c r="AM15" i="33"/>
  <c r="EC15" i="33"/>
  <c r="EG15" i="33"/>
  <c r="W15" i="33"/>
  <c r="EO15" i="33"/>
  <c r="ES15" i="33"/>
  <c r="CD15" i="33"/>
  <c r="AI15" i="33"/>
  <c r="AE15" i="33"/>
  <c r="CP15" i="33"/>
  <c r="CH15" i="33"/>
  <c r="BZ15" i="33"/>
  <c r="EK15" i="33"/>
  <c r="AB51" i="28"/>
  <c r="X59" i="28"/>
  <c r="G57" i="28"/>
  <c r="V57" i="28"/>
  <c r="Q57" i="28"/>
  <c r="AD60" i="28"/>
  <c r="AB61" i="28"/>
  <c r="I60" i="28"/>
  <c r="X60" i="28"/>
  <c r="J61" i="28"/>
  <c r="Y61" i="28"/>
  <c r="K57" i="28"/>
  <c r="L61" i="28"/>
  <c r="R57" i="28"/>
  <c r="O61" i="28"/>
  <c r="Z61" i="28"/>
  <c r="AB59" i="28"/>
  <c r="L59" i="28"/>
  <c r="G59" i="28"/>
  <c r="F60" i="28"/>
  <c r="O57" i="28"/>
  <c r="F59" i="28"/>
  <c r="AA61" i="28"/>
  <c r="W61" i="28"/>
  <c r="V61" i="28"/>
  <c r="AA57" i="28"/>
  <c r="F57" i="28"/>
  <c r="H61" i="28"/>
  <c r="AC59" i="28"/>
  <c r="Z60" i="28"/>
  <c r="N61" i="28"/>
  <c r="J60" i="28"/>
  <c r="U60" i="28"/>
  <c r="O59" i="28"/>
  <c r="AE59" i="28"/>
  <c r="V60" i="28"/>
  <c r="N60" i="28"/>
  <c r="L60" i="28"/>
  <c r="F61" i="28"/>
  <c r="W57" i="28"/>
  <c r="Y60" i="28"/>
  <c r="H60" i="28"/>
  <c r="K61" i="28"/>
  <c r="R61" i="28"/>
  <c r="AE60" i="28"/>
  <c r="M59" i="28"/>
  <c r="T61" i="28"/>
  <c r="W60" i="28"/>
  <c r="R60" i="28"/>
  <c r="AB57" i="28"/>
  <c r="AC60" i="28"/>
  <c r="Q59" i="28"/>
  <c r="S60" i="28"/>
  <c r="T59" i="28"/>
  <c r="T57" i="28"/>
  <c r="AD61" i="28"/>
  <c r="G61" i="28"/>
  <c r="T60" i="28"/>
  <c r="O60" i="28"/>
  <c r="K60" i="28"/>
  <c r="H59" i="28"/>
  <c r="M57" i="28"/>
  <c r="Q60" i="28"/>
  <c r="AA59" i="28"/>
  <c r="K59" i="28"/>
  <c r="G60" i="28"/>
  <c r="L57" i="28"/>
  <c r="S61" i="28"/>
  <c r="Z59" i="28"/>
  <c r="Q61" i="28"/>
  <c r="AA60" i="28"/>
  <c r="AB60" i="28"/>
  <c r="Y59" i="28"/>
  <c r="I59" i="28"/>
  <c r="U59" i="28"/>
  <c r="R59" i="28"/>
  <c r="J57" i="28"/>
  <c r="S57" i="28"/>
  <c r="AD57" i="28"/>
  <c r="I57" i="28"/>
  <c r="Z57" i="28"/>
  <c r="X57" i="28"/>
  <c r="W59" i="28"/>
  <c r="S59" i="28"/>
  <c r="N57" i="28"/>
  <c r="V59" i="28"/>
  <c r="AE57" i="28"/>
  <c r="X61" i="28"/>
  <c r="Y57" i="28"/>
  <c r="J59" i="28"/>
  <c r="AC57" i="28"/>
  <c r="U61" i="28"/>
  <c r="I61" i="28"/>
  <c r="M61" i="28"/>
  <c r="U57" i="28"/>
  <c r="N59" i="28"/>
  <c r="M60" i="28"/>
  <c r="N56" i="28"/>
  <c r="X54" i="28"/>
  <c r="W56" i="28"/>
  <c r="F52" i="28"/>
  <c r="AD56" i="28"/>
  <c r="K52" i="28"/>
  <c r="S54" i="28"/>
  <c r="Z54" i="28"/>
  <c r="G55" i="28"/>
  <c r="J55" i="28"/>
  <c r="AA54" i="28"/>
  <c r="F54" i="28"/>
  <c r="AC54" i="28"/>
  <c r="Y56" i="28"/>
  <c r="Z52" i="28"/>
  <c r="T52" i="28"/>
  <c r="T55" i="28"/>
  <c r="AD54" i="28"/>
  <c r="U52" i="28"/>
  <c r="S55" i="28"/>
  <c r="O55" i="28"/>
  <c r="K54" i="28"/>
  <c r="Y54" i="28"/>
  <c r="X56" i="28"/>
  <c r="N54" i="28"/>
  <c r="S56" i="28"/>
  <c r="AA56" i="28"/>
  <c r="AA52" i="28"/>
  <c r="AC56" i="28"/>
  <c r="T54" i="28"/>
  <c r="L55" i="28"/>
  <c r="G56" i="28"/>
  <c r="U54" i="28"/>
  <c r="AD52" i="28"/>
  <c r="R52" i="28"/>
  <c r="Q54" i="28"/>
  <c r="AE54" i="28"/>
  <c r="Z55" i="28"/>
  <c r="V54" i="28"/>
  <c r="H56" i="28"/>
  <c r="V55" i="28"/>
  <c r="Y52" i="28"/>
  <c r="U55" i="28"/>
  <c r="Q55" i="28"/>
  <c r="Q56" i="28"/>
  <c r="L56" i="28"/>
  <c r="K56" i="28"/>
  <c r="M56" i="28"/>
  <c r="I52" i="28"/>
  <c r="G54" i="28"/>
  <c r="AA55" i="28"/>
  <c r="K55" i="28"/>
  <c r="I56" i="28"/>
  <c r="J52" i="28"/>
  <c r="Z56" i="28"/>
  <c r="W52" i="28"/>
  <c r="F56" i="28"/>
  <c r="H52" i="28"/>
  <c r="U56" i="28"/>
  <c r="M54" i="28"/>
  <c r="F55" i="28"/>
  <c r="V56" i="28"/>
  <c r="X52" i="28"/>
  <c r="O54" i="28"/>
  <c r="J54" i="28"/>
  <c r="R55" i="28"/>
  <c r="O52" i="28"/>
  <c r="M55" i="28"/>
  <c r="AB55" i="28"/>
  <c r="W54" i="28"/>
  <c r="AE56" i="28"/>
  <c r="I54" i="28"/>
  <c r="J56" i="28"/>
  <c r="R56" i="28"/>
  <c r="AC55" i="28"/>
  <c r="AB52" i="28"/>
  <c r="AD55" i="28"/>
  <c r="AC52" i="28"/>
  <c r="AB54" i="28"/>
  <c r="O56" i="28"/>
  <c r="H54" i="28"/>
  <c r="V52" i="28"/>
  <c r="R54" i="28"/>
  <c r="G52" i="28"/>
  <c r="T56" i="28"/>
  <c r="W55" i="28"/>
  <c r="H55" i="28"/>
  <c r="Y55" i="28"/>
  <c r="Q52" i="28"/>
  <c r="X55" i="28"/>
  <c r="N55" i="28"/>
  <c r="AE55" i="28"/>
  <c r="N52" i="28"/>
  <c r="L54" i="28"/>
  <c r="AE52" i="28"/>
  <c r="AE50" i="28"/>
  <c r="O50" i="28"/>
  <c r="AC47" i="28"/>
  <c r="AA47" i="28"/>
  <c r="AB47" i="28"/>
  <c r="N51" i="28"/>
  <c r="G49" i="28"/>
  <c r="I47" i="28"/>
  <c r="AB49" i="28"/>
  <c r="M47" i="28"/>
  <c r="Q47" i="28"/>
  <c r="AA51" i="28"/>
  <c r="AD50" i="28"/>
  <c r="Q49" i="28"/>
  <c r="V47" i="28"/>
  <c r="T50" i="28"/>
  <c r="I51" i="28"/>
  <c r="O51" i="28"/>
  <c r="S49" i="28"/>
  <c r="M49" i="28"/>
  <c r="T47" i="28"/>
  <c r="F47" i="28"/>
  <c r="R50" i="28"/>
  <c r="AD51" i="28"/>
  <c r="W47" i="28"/>
  <c r="Z47" i="28"/>
  <c r="Z49" i="28"/>
  <c r="K51" i="28"/>
  <c r="S50" i="28"/>
  <c r="L49" i="28"/>
  <c r="O47" i="28"/>
  <c r="J51" i="28"/>
  <c r="K50" i="28"/>
  <c r="X50" i="28"/>
  <c r="Q50" i="28"/>
  <c r="G47" i="28"/>
  <c r="W49" i="28"/>
  <c r="U47" i="28"/>
  <c r="U50" i="28"/>
  <c r="AA49" i="28"/>
  <c r="H50" i="28"/>
  <c r="Y51" i="28"/>
  <c r="R49" i="28"/>
  <c r="W51" i="28"/>
  <c r="K47" i="28"/>
  <c r="H49" i="28"/>
  <c r="Y49" i="28"/>
  <c r="AC50" i="28"/>
  <c r="R47" i="28"/>
  <c r="AD47" i="28"/>
  <c r="J47" i="28"/>
  <c r="L47" i="28"/>
  <c r="H51" i="28"/>
  <c r="AD49" i="28"/>
  <c r="W50" i="28"/>
  <c r="M50" i="28"/>
  <c r="L51" i="28"/>
  <c r="R51" i="28"/>
  <c r="U49" i="28"/>
  <c r="J49" i="28"/>
  <c r="X49" i="28"/>
  <c r="V49" i="28"/>
  <c r="X47" i="28"/>
  <c r="M51" i="28"/>
  <c r="T51" i="28"/>
  <c r="N50" i="28"/>
  <c r="Y50" i="28"/>
  <c r="V50" i="28"/>
  <c r="AE51" i="28"/>
  <c r="G50" i="28"/>
  <c r="Z50" i="28"/>
  <c r="G51" i="28"/>
  <c r="I49" i="28"/>
  <c r="AA50" i="28"/>
  <c r="AE47" i="28"/>
  <c r="S47" i="28"/>
  <c r="Y47" i="28"/>
  <c r="O49" i="28"/>
  <c r="F49" i="28"/>
  <c r="S51" i="28"/>
  <c r="Q51" i="28"/>
  <c r="Z51" i="28"/>
  <c r="X51" i="28"/>
  <c r="AC49" i="28"/>
  <c r="AB50" i="28"/>
  <c r="K49" i="28"/>
  <c r="AE49" i="28"/>
  <c r="N47" i="28"/>
  <c r="N49" i="28"/>
  <c r="I50" i="28"/>
  <c r="CR15" i="33"/>
  <c r="AK15" i="33"/>
  <c r="DA15" i="33"/>
  <c r="E47" i="28" l="1"/>
  <c r="D14" i="33"/>
  <c r="P49" i="28"/>
  <c r="BL14" i="33"/>
  <c r="AF52" i="28"/>
  <c r="DK14" i="33"/>
  <c r="P54" i="28"/>
  <c r="BM14" i="33"/>
  <c r="E49" i="28"/>
  <c r="I14" i="33"/>
  <c r="AF47" i="28"/>
  <c r="DJ14" i="33"/>
  <c r="AF49" i="28"/>
  <c r="DO14" i="33"/>
  <c r="E50" i="28"/>
  <c r="N14" i="33"/>
  <c r="P52" i="28"/>
  <c r="BH14" i="33"/>
  <c r="E54" i="28"/>
  <c r="J14" i="33"/>
  <c r="AF59" i="28"/>
  <c r="DQ14" i="33"/>
  <c r="E57" i="28"/>
  <c r="F14" i="33"/>
  <c r="P61" i="28"/>
  <c r="BX14" i="33"/>
  <c r="P55" i="28"/>
  <c r="BR14" i="33"/>
  <c r="AF56" i="28"/>
  <c r="DZ14" i="33"/>
  <c r="AF55" i="28"/>
  <c r="DU14" i="33"/>
  <c r="P57" i="28"/>
  <c r="BI14" i="33"/>
  <c r="AF60" i="28"/>
  <c r="DV14" i="33"/>
  <c r="E59" i="28"/>
  <c r="K14" i="33"/>
  <c r="P60" i="28"/>
  <c r="BS14" i="33"/>
  <c r="AF50" i="28"/>
  <c r="DT14" i="33"/>
  <c r="AF61" i="28"/>
  <c r="EA14" i="33"/>
  <c r="P47" i="28"/>
  <c r="BG14" i="33"/>
  <c r="P56" i="28"/>
  <c r="BW14" i="33"/>
  <c r="E51" i="28"/>
  <c r="S14" i="33"/>
  <c r="E55" i="28"/>
  <c r="O14" i="33"/>
  <c r="E56" i="28"/>
  <c r="T14" i="33"/>
  <c r="E60" i="28"/>
  <c r="P14" i="33"/>
  <c r="AF51" i="28"/>
  <c r="DY14" i="33"/>
  <c r="P51" i="28"/>
  <c r="BV14" i="33"/>
  <c r="P50" i="28"/>
  <c r="BQ14" i="33"/>
  <c r="E52" i="28"/>
  <c r="E14" i="33"/>
  <c r="AF57" i="28"/>
  <c r="DL14" i="33"/>
  <c r="AF54" i="28"/>
  <c r="DP14" i="33"/>
  <c r="E61" i="28"/>
  <c r="U14" i="33"/>
  <c r="P59" i="28"/>
  <c r="BN14" i="33"/>
  <c r="H57" i="28"/>
  <c r="AB56" i="28"/>
  <c r="AC61" i="28"/>
  <c r="AA24" i="28"/>
  <c r="M31" i="28"/>
  <c r="T49" i="28"/>
  <c r="L52" i="28"/>
  <c r="U51" i="28"/>
  <c r="AC51" i="28"/>
  <c r="AE61" i="28"/>
  <c r="AD59" i="28"/>
  <c r="I55" i="28"/>
  <c r="S52" i="28"/>
  <c r="M52" i="28"/>
  <c r="V51" i="28"/>
  <c r="L50" i="28"/>
  <c r="F51" i="28"/>
  <c r="J50" i="28"/>
  <c r="H47" i="28"/>
  <c r="F50" i="28"/>
  <c r="CF14" i="33"/>
  <c r="CF15" i="33"/>
  <c r="BA14" i="33"/>
  <c r="BA15" i="33"/>
  <c r="DF14" i="33"/>
  <c r="DF15" i="33"/>
  <c r="AQ15" i="33"/>
  <c r="AQ14" i="33"/>
  <c r="DG14" i="33"/>
  <c r="DG15" i="33"/>
  <c r="AB30" i="28"/>
  <c r="S33" i="28"/>
  <c r="O14" i="28"/>
  <c r="S26" i="28"/>
  <c r="H28" i="28"/>
  <c r="AC14" i="28"/>
  <c r="Z33" i="28"/>
  <c r="L32" i="28"/>
  <c r="V32" i="28"/>
  <c r="N32" i="28"/>
  <c r="AB35" i="28"/>
  <c r="Y32" i="28"/>
  <c r="V36" i="28"/>
  <c r="AE35" i="28"/>
  <c r="M33" i="28"/>
  <c r="H32" i="28"/>
  <c r="AE36" i="28"/>
  <c r="F34" i="28"/>
  <c r="Y33" i="28"/>
  <c r="AE32" i="28"/>
  <c r="G34" i="28"/>
  <c r="K33" i="28"/>
  <c r="AA35" i="28"/>
  <c r="W34" i="28"/>
  <c r="Y36" i="28"/>
  <c r="Q34" i="28"/>
  <c r="Y34" i="28"/>
  <c r="N36" i="28"/>
  <c r="L36" i="28"/>
  <c r="X34" i="28"/>
  <c r="X36" i="28"/>
  <c r="J32" i="28"/>
  <c r="AE33" i="28"/>
  <c r="X35" i="28"/>
  <c r="I34" i="28"/>
  <c r="R34" i="28"/>
  <c r="F36" i="28"/>
  <c r="N34" i="28"/>
  <c r="AC32" i="28"/>
  <c r="AB34" i="28"/>
  <c r="AC34" i="28"/>
  <c r="X33" i="28"/>
  <c r="J33" i="28"/>
  <c r="Y35" i="28"/>
  <c r="O32" i="28"/>
  <c r="AA33" i="28"/>
  <c r="R32" i="28"/>
  <c r="AB33" i="28"/>
  <c r="U34" i="28"/>
  <c r="R35" i="28"/>
  <c r="M34" i="28"/>
  <c r="AD34" i="28"/>
  <c r="H33" i="28"/>
  <c r="T36" i="28"/>
  <c r="F33" i="28"/>
  <c r="Q36" i="28"/>
  <c r="Z32" i="28"/>
  <c r="K35" i="28"/>
  <c r="O33" i="28"/>
  <c r="T33" i="28"/>
  <c r="L34" i="28"/>
  <c r="AD33" i="28"/>
  <c r="O34" i="28"/>
  <c r="J34" i="28"/>
  <c r="Q35" i="28"/>
  <c r="AC33" i="28"/>
  <c r="K36" i="28"/>
  <c r="J36" i="28"/>
  <c r="K32" i="28"/>
  <c r="L33" i="28"/>
  <c r="I33" i="28"/>
  <c r="AC35" i="28"/>
  <c r="V35" i="28"/>
  <c r="M36" i="28"/>
  <c r="G35" i="28"/>
  <c r="H36" i="28"/>
  <c r="G33" i="28"/>
  <c r="AA32" i="28"/>
  <c r="T34" i="28"/>
  <c r="M35" i="28"/>
  <c r="N35" i="28"/>
  <c r="AA34" i="28"/>
  <c r="AA36" i="28"/>
  <c r="H35" i="28"/>
  <c r="W32" i="28"/>
  <c r="W35" i="28"/>
  <c r="S36" i="28"/>
  <c r="R33" i="28"/>
  <c r="X32" i="28"/>
  <c r="J35" i="28"/>
  <c r="V34" i="28"/>
  <c r="Q33" i="28"/>
  <c r="W33" i="28"/>
  <c r="O36" i="28"/>
  <c r="G32" i="28"/>
  <c r="V33" i="28"/>
  <c r="U33" i="28"/>
  <c r="U35" i="28"/>
  <c r="F32" i="28"/>
  <c r="Z34" i="28"/>
  <c r="I32" i="28"/>
  <c r="T35" i="28"/>
  <c r="AE34" i="28"/>
  <c r="M32" i="28"/>
  <c r="L35" i="28"/>
  <c r="S32" i="28"/>
  <c r="AB32" i="28"/>
  <c r="R36" i="28"/>
  <c r="K34" i="28"/>
  <c r="S34" i="28"/>
  <c r="AC36" i="28"/>
  <c r="U32" i="28"/>
  <c r="Z35" i="28"/>
  <c r="AD35" i="28"/>
  <c r="U36" i="28"/>
  <c r="Z36" i="28"/>
  <c r="W36" i="28"/>
  <c r="AD32" i="28"/>
  <c r="I35" i="28"/>
  <c r="G36" i="28"/>
  <c r="Z28" i="28"/>
  <c r="AA31" i="28"/>
  <c r="T29" i="28"/>
  <c r="V28" i="28"/>
  <c r="AB27" i="28"/>
  <c r="J29" i="28"/>
  <c r="Y27" i="28"/>
  <c r="W27" i="28"/>
  <c r="U29" i="28"/>
  <c r="F30" i="28"/>
  <c r="V29" i="28"/>
  <c r="N29" i="28"/>
  <c r="L27" i="28"/>
  <c r="O28" i="28"/>
  <c r="J27" i="28"/>
  <c r="J28" i="28"/>
  <c r="J30" i="28"/>
  <c r="AC29" i="28"/>
  <c r="W31" i="28"/>
  <c r="L31" i="28"/>
  <c r="N31" i="28"/>
  <c r="R29" i="28"/>
  <c r="N30" i="28"/>
  <c r="M27" i="28"/>
  <c r="L30" i="28"/>
  <c r="O27" i="28"/>
  <c r="G31" i="28"/>
  <c r="F28" i="28"/>
  <c r="AB31" i="28"/>
  <c r="Q29" i="28"/>
  <c r="H31" i="28"/>
  <c r="AE29" i="28"/>
  <c r="F27" i="28"/>
  <c r="Z31" i="28"/>
  <c r="X27" i="28"/>
  <c r="X28" i="28"/>
  <c r="K29" i="28"/>
  <c r="AA28" i="28"/>
  <c r="G30" i="28"/>
  <c r="K28" i="28"/>
  <c r="Q27" i="28"/>
  <c r="M29" i="28"/>
  <c r="U31" i="28"/>
  <c r="R28" i="28"/>
  <c r="W30" i="28"/>
  <c r="G27" i="28"/>
  <c r="U28" i="28"/>
  <c r="AD30" i="28"/>
  <c r="Q30" i="28"/>
  <c r="J31" i="28"/>
  <c r="AA29" i="28"/>
  <c r="N27" i="28"/>
  <c r="G28" i="28"/>
  <c r="F29" i="28"/>
  <c r="I28" i="28"/>
  <c r="Y29" i="28"/>
  <c r="AC28" i="28"/>
  <c r="Q28" i="28"/>
  <c r="O30" i="28"/>
  <c r="M28" i="28"/>
  <c r="W28" i="28"/>
  <c r="K30" i="28"/>
  <c r="AD31" i="28"/>
  <c r="S30" i="28"/>
  <c r="H27" i="28"/>
  <c r="I27" i="28"/>
  <c r="T27" i="28"/>
  <c r="AD27" i="28"/>
  <c r="AE27" i="28"/>
  <c r="AD29" i="28"/>
  <c r="M30" i="28"/>
  <c r="H29" i="28"/>
  <c r="S27" i="28"/>
  <c r="H30" i="28"/>
  <c r="I29" i="28"/>
  <c r="T31" i="28"/>
  <c r="AD28" i="28"/>
  <c r="AC27" i="28"/>
  <c r="AA30" i="28"/>
  <c r="K27" i="28"/>
  <c r="X31" i="28"/>
  <c r="R27" i="28"/>
  <c r="AC30" i="28"/>
  <c r="AC31" i="28"/>
  <c r="Y31" i="28"/>
  <c r="R31" i="28"/>
  <c r="S31" i="28"/>
  <c r="G29" i="28"/>
  <c r="Z29" i="28"/>
  <c r="V30" i="28"/>
  <c r="W29" i="28"/>
  <c r="I31" i="28"/>
  <c r="Y30" i="28"/>
  <c r="N28" i="28"/>
  <c r="R30" i="28"/>
  <c r="O29" i="28"/>
  <c r="AE28" i="28"/>
  <c r="S28" i="28"/>
  <c r="L28" i="28"/>
  <c r="I30" i="28"/>
  <c r="V27" i="28"/>
  <c r="X30" i="28"/>
  <c r="T30" i="28"/>
  <c r="V31" i="28"/>
  <c r="AB29" i="28"/>
  <c r="L29" i="28"/>
  <c r="Q31" i="28"/>
  <c r="AE30" i="28"/>
  <c r="Y28" i="28"/>
  <c r="X29" i="28"/>
  <c r="AB28" i="28"/>
  <c r="X25" i="28"/>
  <c r="AD23" i="28"/>
  <c r="M25" i="28"/>
  <c r="AE24" i="28"/>
  <c r="W24" i="28"/>
  <c r="J25" i="28"/>
  <c r="H26" i="28"/>
  <c r="F26" i="28"/>
  <c r="AE23" i="28"/>
  <c r="L24" i="28"/>
  <c r="N26" i="28"/>
  <c r="AA23" i="28"/>
  <c r="H25" i="28"/>
  <c r="Y23" i="28"/>
  <c r="M24" i="28"/>
  <c r="Q22" i="28"/>
  <c r="AB24" i="28"/>
  <c r="M22" i="28"/>
  <c r="I22" i="28"/>
  <c r="O23" i="28"/>
  <c r="AE26" i="28"/>
  <c r="S25" i="28"/>
  <c r="AD22" i="28"/>
  <c r="T22" i="28"/>
  <c r="Y26" i="28"/>
  <c r="I25" i="28"/>
  <c r="AE25" i="28"/>
  <c r="AA25" i="28"/>
  <c r="AD25" i="28"/>
  <c r="W26" i="28"/>
  <c r="S23" i="28"/>
  <c r="V26" i="28"/>
  <c r="N22" i="28"/>
  <c r="L22" i="28"/>
  <c r="AB23" i="28"/>
  <c r="S24" i="28"/>
  <c r="Y25" i="28"/>
  <c r="G25" i="28"/>
  <c r="R24" i="28"/>
  <c r="N23" i="28"/>
  <c r="R25" i="28"/>
  <c r="T25" i="28"/>
  <c r="H22" i="28"/>
  <c r="W25" i="28"/>
  <c r="AC22" i="28"/>
  <c r="R23" i="28"/>
  <c r="Q26" i="28"/>
  <c r="J24" i="28"/>
  <c r="M26" i="28"/>
  <c r="L25" i="28"/>
  <c r="AB25" i="28"/>
  <c r="K23" i="28"/>
  <c r="F22" i="28"/>
  <c r="T23" i="28"/>
  <c r="G24" i="28"/>
  <c r="K22" i="28"/>
  <c r="Q25" i="28"/>
  <c r="I24" i="28"/>
  <c r="Q23" i="28"/>
  <c r="G26" i="28"/>
  <c r="N25" i="28"/>
  <c r="AA26" i="28"/>
  <c r="H24" i="28"/>
  <c r="AC26" i="28"/>
  <c r="N24" i="28"/>
  <c r="Q24" i="28"/>
  <c r="L23" i="28"/>
  <c r="H23" i="28"/>
  <c r="U24" i="28"/>
  <c r="Y22" i="28"/>
  <c r="F25" i="28"/>
  <c r="I23" i="28"/>
  <c r="R26" i="28"/>
  <c r="X22" i="28"/>
  <c r="U23" i="28"/>
  <c r="Z26" i="28"/>
  <c r="O24" i="28"/>
  <c r="J26" i="28"/>
  <c r="V22" i="28"/>
  <c r="J23" i="28"/>
  <c r="AB22" i="28"/>
  <c r="W23" i="28"/>
  <c r="AD26" i="28"/>
  <c r="M23" i="28"/>
  <c r="Z22" i="28"/>
  <c r="X26" i="28"/>
  <c r="Z24" i="28"/>
  <c r="T24" i="28"/>
  <c r="J22" i="28"/>
  <c r="G23" i="28"/>
  <c r="Y24" i="28"/>
  <c r="V23" i="28"/>
  <c r="R22" i="28"/>
  <c r="K25" i="28"/>
  <c r="F24" i="28"/>
  <c r="U25" i="28"/>
  <c r="K24" i="28"/>
  <c r="U22" i="28"/>
  <c r="AC25" i="28"/>
  <c r="F23" i="28"/>
  <c r="O22" i="28"/>
  <c r="X24" i="28"/>
  <c r="AD24" i="28"/>
  <c r="W22" i="28"/>
  <c r="V24" i="28"/>
  <c r="AC23" i="28"/>
  <c r="K26" i="28"/>
  <c r="I26" i="28"/>
  <c r="X23" i="28"/>
  <c r="Z25" i="28"/>
  <c r="AC24" i="28"/>
  <c r="Z23" i="28"/>
  <c r="O26" i="28"/>
  <c r="U26" i="28"/>
  <c r="V25" i="28"/>
  <c r="W14" i="28"/>
  <c r="R16" i="28"/>
  <c r="AD14" i="28"/>
  <c r="F16" i="28"/>
  <c r="J12" i="28"/>
  <c r="G12" i="28"/>
  <c r="V12" i="28"/>
  <c r="X8" i="28"/>
  <c r="Y13" i="28"/>
  <c r="X15" i="28"/>
  <c r="K15" i="28"/>
  <c r="T14" i="28"/>
  <c r="J15" i="28"/>
  <c r="G15" i="28"/>
  <c r="AA15" i="28"/>
  <c r="AE13" i="28"/>
  <c r="M13" i="28"/>
  <c r="W13" i="28"/>
  <c r="Z15" i="28"/>
  <c r="K14" i="28"/>
  <c r="AB16" i="28"/>
  <c r="S14" i="28"/>
  <c r="AC15" i="28"/>
  <c r="U15" i="28"/>
  <c r="AA12" i="28"/>
  <c r="R13" i="28"/>
  <c r="AB12" i="28"/>
  <c r="F14" i="28"/>
  <c r="N14" i="28"/>
  <c r="N12" i="28"/>
  <c r="Q14" i="28"/>
  <c r="K13" i="28"/>
  <c r="Q13" i="28"/>
  <c r="N15" i="28"/>
  <c r="AD15" i="28"/>
  <c r="AE16" i="28"/>
  <c r="H13" i="28"/>
  <c r="X14" i="28"/>
  <c r="M16" i="28"/>
  <c r="I16" i="28"/>
  <c r="T13" i="28"/>
  <c r="U16" i="28"/>
  <c r="N16" i="28"/>
  <c r="W16" i="28"/>
  <c r="X16" i="28"/>
  <c r="T16" i="28"/>
  <c r="AB14" i="28"/>
  <c r="S13" i="28"/>
  <c r="M15" i="28"/>
  <c r="G14" i="28"/>
  <c r="Z16" i="28"/>
  <c r="U13" i="28"/>
  <c r="G13" i="28"/>
  <c r="K16" i="28"/>
  <c r="W12" i="28"/>
  <c r="I13" i="28"/>
  <c r="L16" i="28"/>
  <c r="O13" i="28"/>
  <c r="Y15" i="28"/>
  <c r="AC16" i="28"/>
  <c r="R14" i="28"/>
  <c r="AE14" i="28"/>
  <c r="X13" i="28"/>
  <c r="AA14" i="28"/>
  <c r="AE15" i="28"/>
  <c r="AB15" i="28"/>
  <c r="H16" i="28"/>
  <c r="J16" i="28"/>
  <c r="J14" i="28"/>
  <c r="F15" i="28"/>
  <c r="Y12" i="28"/>
  <c r="I14" i="28"/>
  <c r="M14" i="28"/>
  <c r="Q12" i="28"/>
  <c r="V13" i="28"/>
  <c r="AC13" i="28"/>
  <c r="L13" i="28"/>
  <c r="V15" i="28"/>
  <c r="Z14" i="28"/>
  <c r="R15" i="28"/>
  <c r="H15" i="28"/>
  <c r="F12" i="28"/>
  <c r="L14" i="28"/>
  <c r="S15" i="28"/>
  <c r="V16" i="28"/>
  <c r="S12" i="28"/>
  <c r="W15" i="28"/>
  <c r="AA13" i="28"/>
  <c r="N13" i="28"/>
  <c r="V14" i="28"/>
  <c r="Z13" i="28"/>
  <c r="O12" i="28"/>
  <c r="AD13" i="28"/>
  <c r="H14" i="28"/>
  <c r="R12" i="28"/>
  <c r="T15" i="28"/>
  <c r="AC12" i="28"/>
  <c r="O15" i="28"/>
  <c r="S16" i="28"/>
  <c r="I12" i="28"/>
  <c r="L15" i="28"/>
  <c r="T12" i="28"/>
  <c r="K12" i="28"/>
  <c r="U14" i="28"/>
  <c r="M12" i="28"/>
  <c r="AB13" i="28"/>
  <c r="Q15" i="28"/>
  <c r="AD16" i="28"/>
  <c r="Z12" i="28"/>
  <c r="L12" i="28"/>
  <c r="H12" i="28"/>
  <c r="F13" i="28"/>
  <c r="G16" i="28"/>
  <c r="O16" i="28"/>
  <c r="O9" i="28"/>
  <c r="M9" i="28"/>
  <c r="I7" i="28"/>
  <c r="F10" i="28"/>
  <c r="T7" i="28"/>
  <c r="Z10" i="28"/>
  <c r="L10" i="28"/>
  <c r="AC8" i="28"/>
  <c r="AC10" i="28"/>
  <c r="T9" i="28"/>
  <c r="H8" i="28"/>
  <c r="K11" i="28"/>
  <c r="AA8" i="28"/>
  <c r="N7" i="28"/>
  <c r="X7" i="28"/>
  <c r="AC9" i="28"/>
  <c r="Q7" i="28"/>
  <c r="J10" i="28"/>
  <c r="T11" i="28"/>
  <c r="Z11" i="28"/>
  <c r="F9" i="28"/>
  <c r="J11" i="28"/>
  <c r="H11" i="28"/>
  <c r="O10" i="28"/>
  <c r="V8" i="28"/>
  <c r="U10" i="28"/>
  <c r="K8" i="28"/>
  <c r="L7" i="28"/>
  <c r="Y10" i="28"/>
  <c r="V11" i="28"/>
  <c r="G11" i="28"/>
  <c r="AE9" i="28"/>
  <c r="Z9" i="28"/>
  <c r="AD10" i="28"/>
  <c r="H7" i="28"/>
  <c r="R9" i="28"/>
  <c r="X11" i="28"/>
  <c r="S10" i="28"/>
  <c r="M8" i="28"/>
  <c r="F7" i="28"/>
  <c r="S9" i="28"/>
  <c r="Y8" i="28"/>
  <c r="R8" i="28"/>
  <c r="U9" i="28"/>
  <c r="F8" i="28"/>
  <c r="R10" i="28"/>
  <c r="AE8" i="28"/>
  <c r="AE7" i="28"/>
  <c r="I8" i="28"/>
  <c r="F11" i="28"/>
  <c r="N9" i="28"/>
  <c r="G9" i="28"/>
  <c r="AD11" i="28"/>
  <c r="Y7" i="28"/>
  <c r="I10" i="28"/>
  <c r="V7" i="28"/>
  <c r="Q8" i="28"/>
  <c r="AA9" i="28"/>
  <c r="I9" i="28"/>
  <c r="Q11" i="28"/>
  <c r="G8" i="28"/>
  <c r="G10" i="28"/>
  <c r="O11" i="28"/>
  <c r="Y11" i="28"/>
  <c r="J9" i="28"/>
  <c r="W7" i="28"/>
  <c r="M10" i="28"/>
  <c r="G7" i="28"/>
  <c r="K7" i="28"/>
  <c r="AA7" i="28"/>
  <c r="O7" i="28"/>
  <c r="N8" i="28"/>
  <c r="X9" i="28"/>
  <c r="AB7" i="28"/>
  <c r="N11" i="28"/>
  <c r="AB8" i="28"/>
  <c r="V10" i="28"/>
  <c r="W10" i="28"/>
  <c r="AB11" i="28"/>
  <c r="AB10" i="28"/>
  <c r="Z8" i="28"/>
  <c r="Y9" i="28"/>
  <c r="M11" i="28"/>
  <c r="T8" i="28"/>
  <c r="AE11" i="28"/>
  <c r="J7" i="28"/>
  <c r="I11" i="28"/>
  <c r="X10" i="28"/>
  <c r="T10" i="28"/>
  <c r="H9" i="28"/>
  <c r="AA11" i="28"/>
  <c r="R11" i="28"/>
  <c r="AD9" i="28"/>
  <c r="Z7" i="28"/>
  <c r="U11" i="28"/>
  <c r="H10" i="28"/>
  <c r="AA10" i="28"/>
  <c r="S7" i="28"/>
  <c r="K9" i="28"/>
  <c r="J8" i="28"/>
  <c r="Q10" i="28"/>
  <c r="N10" i="28"/>
  <c r="AC11" i="28"/>
  <c r="Q9" i="28"/>
  <c r="AB9" i="28"/>
  <c r="S11" i="28"/>
  <c r="S8" i="28"/>
  <c r="W9" i="28"/>
  <c r="W8" i="28"/>
  <c r="O8" i="28"/>
  <c r="AC7" i="28"/>
  <c r="AE10" i="28"/>
  <c r="AD8" i="28"/>
  <c r="U8" i="28"/>
  <c r="AQ17" i="33" l="1"/>
  <c r="D8" i="34" s="1"/>
  <c r="BN17" i="33"/>
  <c r="N57" i="34" s="1"/>
  <c r="E17" i="33"/>
  <c r="D51" i="34" s="1"/>
  <c r="P17" i="33"/>
  <c r="D62" i="34" s="1"/>
  <c r="BW17" i="33"/>
  <c r="N66" i="34" s="1"/>
  <c r="BS17" i="33"/>
  <c r="N62" i="34" s="1"/>
  <c r="DU17" i="33"/>
  <c r="W61" i="34" s="1"/>
  <c r="F17" i="33"/>
  <c r="D52" i="34" s="1"/>
  <c r="N17" i="33"/>
  <c r="D60" i="34" s="1"/>
  <c r="BM17" i="33"/>
  <c r="N56" i="34" s="1"/>
  <c r="BA17" i="33"/>
  <c r="D18" i="34" s="1"/>
  <c r="U17" i="33"/>
  <c r="D67" i="34" s="1"/>
  <c r="BQ17" i="33"/>
  <c r="N60" i="34" s="1"/>
  <c r="T17" i="33"/>
  <c r="D66" i="34" s="1"/>
  <c r="BG17" i="33"/>
  <c r="N50" i="34" s="1"/>
  <c r="K17" i="33"/>
  <c r="D57" i="34" s="1"/>
  <c r="DZ17" i="33"/>
  <c r="W66" i="34" s="1"/>
  <c r="DQ17" i="33"/>
  <c r="W57" i="34" s="1"/>
  <c r="DO17" i="33"/>
  <c r="W55" i="34" s="1"/>
  <c r="DK17" i="33"/>
  <c r="W51" i="34" s="1"/>
  <c r="DG17" i="33"/>
  <c r="M21" i="34" s="1"/>
  <c r="DP17" i="33"/>
  <c r="W56" i="34" s="1"/>
  <c r="BV17" i="33"/>
  <c r="N65" i="34" s="1"/>
  <c r="O17" i="33"/>
  <c r="D61" i="34" s="1"/>
  <c r="EA17" i="33"/>
  <c r="W67" i="34" s="1"/>
  <c r="DV17" i="33"/>
  <c r="W62" i="34" s="1"/>
  <c r="BR17" i="33"/>
  <c r="N61" i="34" s="1"/>
  <c r="J17" i="33"/>
  <c r="D56" i="34" s="1"/>
  <c r="DJ17" i="33"/>
  <c r="W50" i="34" s="1"/>
  <c r="BL17" i="33"/>
  <c r="N55" i="34" s="1"/>
  <c r="DF17" i="33"/>
  <c r="M20" i="34" s="1"/>
  <c r="CF17" i="33"/>
  <c r="M32" i="34" s="1"/>
  <c r="DL17" i="33"/>
  <c r="W52" i="34" s="1"/>
  <c r="DY17" i="33"/>
  <c r="W65" i="34" s="1"/>
  <c r="S17" i="33"/>
  <c r="D65" i="34" s="1"/>
  <c r="DT17" i="33"/>
  <c r="W60" i="34" s="1"/>
  <c r="BI17" i="33"/>
  <c r="N52" i="34" s="1"/>
  <c r="BX17" i="33"/>
  <c r="N67" i="34" s="1"/>
  <c r="BH17" i="33"/>
  <c r="N51" i="34" s="1"/>
  <c r="I17" i="33"/>
  <c r="D55" i="34" s="1"/>
  <c r="D17" i="33"/>
  <c r="D50" i="34" s="1"/>
  <c r="AF11" i="28"/>
  <c r="FI14" i="33"/>
  <c r="P9" i="28"/>
  <c r="CZ14" i="33"/>
  <c r="E9" i="28"/>
  <c r="AW14" i="33"/>
  <c r="AF31" i="28"/>
  <c r="ET14" i="33"/>
  <c r="AF30" i="28"/>
  <c r="EP14" i="33"/>
  <c r="P14" i="28"/>
  <c r="DA14" i="33"/>
  <c r="E8" i="28"/>
  <c r="AT14" i="33"/>
  <c r="P13" i="28"/>
  <c r="CX14" i="33"/>
  <c r="E12" i="28"/>
  <c r="AR14" i="33"/>
  <c r="AF12" i="28"/>
  <c r="EX14" i="33"/>
  <c r="AF16" i="28"/>
  <c r="FJ14" i="33"/>
  <c r="E24" i="28"/>
  <c r="AE14" i="33"/>
  <c r="AF26" i="28"/>
  <c r="ES14" i="33"/>
  <c r="E25" i="28"/>
  <c r="AI14" i="33"/>
  <c r="AF27" i="28"/>
  <c r="ED14" i="33"/>
  <c r="E35" i="28"/>
  <c r="AK14" i="33"/>
  <c r="P26" i="28"/>
  <c r="CP14" i="33"/>
  <c r="E22" i="28"/>
  <c r="W14" i="33"/>
  <c r="P25" i="28"/>
  <c r="CL14" i="33"/>
  <c r="P29" i="28"/>
  <c r="CI14" i="33"/>
  <c r="E31" i="28"/>
  <c r="AN14" i="33"/>
  <c r="E28" i="28"/>
  <c r="AB14" i="33"/>
  <c r="E27" i="28"/>
  <c r="X14" i="33"/>
  <c r="AF35" i="28"/>
  <c r="EQ14" i="33"/>
  <c r="E33" i="28"/>
  <c r="AC14" i="33"/>
  <c r="P35" i="28"/>
  <c r="CN14" i="33"/>
  <c r="P22" i="28"/>
  <c r="BZ14" i="33"/>
  <c r="P8" i="28"/>
  <c r="CW14" i="33"/>
  <c r="E10" i="28"/>
  <c r="AZ14" i="33"/>
  <c r="AF13" i="28"/>
  <c r="FA14" i="33"/>
  <c r="E16" i="28"/>
  <c r="BD14" i="33"/>
  <c r="P31" i="28"/>
  <c r="CQ14" i="33"/>
  <c r="E30" i="28"/>
  <c r="AJ14" i="33"/>
  <c r="E34" i="28"/>
  <c r="AG14" i="33"/>
  <c r="AF7" i="28"/>
  <c r="EW14" i="33"/>
  <c r="AF14" i="28"/>
  <c r="FD14" i="33"/>
  <c r="AF29" i="28"/>
  <c r="EL14" i="33"/>
  <c r="AF33" i="28"/>
  <c r="EI14" i="33"/>
  <c r="AF9" i="28"/>
  <c r="FC14" i="33"/>
  <c r="P24" i="28"/>
  <c r="CH14" i="33"/>
  <c r="E23" i="28"/>
  <c r="AA14" i="33"/>
  <c r="E26" i="28"/>
  <c r="AM14" i="33"/>
  <c r="AF23" i="28"/>
  <c r="EG14" i="33"/>
  <c r="E29" i="28"/>
  <c r="AF14" i="33"/>
  <c r="AF34" i="28"/>
  <c r="EM14" i="33"/>
  <c r="E36" i="28"/>
  <c r="AO14" i="33"/>
  <c r="P32" i="28"/>
  <c r="CB14" i="33"/>
  <c r="P36" i="28"/>
  <c r="CR14" i="33"/>
  <c r="E11" i="28"/>
  <c r="BC14" i="33"/>
  <c r="P34" i="28"/>
  <c r="CJ14" i="33"/>
  <c r="E32" i="28"/>
  <c r="Y14" i="33"/>
  <c r="AF10" i="28"/>
  <c r="FF14" i="33"/>
  <c r="E14" i="28"/>
  <c r="AX14" i="33"/>
  <c r="AF15" i="28"/>
  <c r="FG14" i="33"/>
  <c r="AF24" i="28"/>
  <c r="EK14" i="33"/>
  <c r="P23" i="28"/>
  <c r="CD14" i="33"/>
  <c r="AF25" i="28"/>
  <c r="EO14" i="33"/>
  <c r="P30" i="28"/>
  <c r="CM14" i="33"/>
  <c r="AF28" i="28"/>
  <c r="EH14" i="33"/>
  <c r="AF36" i="28"/>
  <c r="EU14" i="33"/>
  <c r="AF32" i="28"/>
  <c r="EE14" i="33"/>
  <c r="P7" i="28"/>
  <c r="CT14" i="33"/>
  <c r="AF8" i="28"/>
  <c r="EZ14" i="33"/>
  <c r="P10" i="28"/>
  <c r="DC14" i="33"/>
  <c r="E13" i="28"/>
  <c r="AU14" i="33"/>
  <c r="P15" i="28"/>
  <c r="DD14" i="33"/>
  <c r="P12" i="28"/>
  <c r="CU14" i="33"/>
  <c r="AF22" i="28"/>
  <c r="EC14" i="33"/>
  <c r="P28" i="28"/>
  <c r="CE14" i="33"/>
  <c r="P27" i="28"/>
  <c r="CA14" i="33"/>
  <c r="P16" i="28"/>
  <c r="Z27" i="28"/>
  <c r="AA27" i="28"/>
  <c r="AD12" i="28"/>
  <c r="R7" i="28"/>
  <c r="W11" i="28"/>
  <c r="U12" i="28"/>
  <c r="L8" i="28"/>
  <c r="E15" i="28"/>
  <c r="F35" i="28"/>
  <c r="Q32" i="28"/>
  <c r="AD36" i="28"/>
  <c r="T32" i="28"/>
  <c r="AB26" i="28"/>
  <c r="V9" i="28"/>
  <c r="L11" i="28"/>
  <c r="P11" i="28"/>
  <c r="T26" i="28"/>
  <c r="G22" i="28"/>
  <c r="H34" i="28"/>
  <c r="Q16" i="28"/>
  <c r="AA16" i="28"/>
  <c r="Y14" i="28"/>
  <c r="J13" i="28"/>
  <c r="M7" i="28"/>
  <c r="Y16" i="28"/>
  <c r="X12" i="28"/>
  <c r="I15" i="28"/>
  <c r="AE12" i="28"/>
  <c r="L9" i="28"/>
  <c r="AD7" i="28"/>
  <c r="K10" i="28"/>
  <c r="U7" i="28"/>
  <c r="E7" i="28"/>
  <c r="AB36" i="28"/>
  <c r="AE31" i="28"/>
  <c r="U30" i="28"/>
  <c r="S29" i="28"/>
  <c r="O31" i="28"/>
  <c r="P33" i="28"/>
  <c r="N33" i="28"/>
  <c r="S35" i="28"/>
  <c r="I36" i="28"/>
  <c r="O35" i="28"/>
  <c r="F31" i="28"/>
  <c r="U27" i="28"/>
  <c r="Z30" i="28"/>
  <c r="K31" i="28"/>
  <c r="T28" i="28"/>
  <c r="O25" i="28"/>
  <c r="S22" i="28"/>
  <c r="AE22" i="28"/>
  <c r="AA22" i="28"/>
  <c r="L26" i="28"/>
  <c r="Y17" i="33" l="1"/>
  <c r="D28" i="34" s="1"/>
  <c r="ET17" i="33"/>
  <c r="W43" i="34" s="1"/>
  <c r="CU17" i="33"/>
  <c r="M9" i="34" s="1"/>
  <c r="EW17" i="33"/>
  <c r="W8" i="34" s="1"/>
  <c r="BD17" i="33"/>
  <c r="D21" i="34" s="1"/>
  <c r="BZ17" i="33"/>
  <c r="M26" i="34" s="1"/>
  <c r="X17" i="33"/>
  <c r="D27" i="34" s="1"/>
  <c r="CL17" i="33"/>
  <c r="M38" i="34" s="1"/>
  <c r="ED17" i="33"/>
  <c r="W27" i="34" s="1"/>
  <c r="FJ17" i="33"/>
  <c r="W21" i="34" s="1"/>
  <c r="AT17" i="33"/>
  <c r="D11" i="34" s="1"/>
  <c r="FC17" i="33"/>
  <c r="W14" i="34" s="1"/>
  <c r="AW17" i="33"/>
  <c r="D14" i="34" s="1"/>
  <c r="EG17" i="33"/>
  <c r="W30" i="34" s="1"/>
  <c r="CA17" i="33"/>
  <c r="M27" i="34" s="1"/>
  <c r="DD17" i="33"/>
  <c r="M18" i="34" s="1"/>
  <c r="CT17" i="33"/>
  <c r="M8" i="34" s="1"/>
  <c r="CM17" i="33"/>
  <c r="M39" i="34" s="1"/>
  <c r="FG17" i="33"/>
  <c r="W18" i="34" s="1"/>
  <c r="CJ17" i="33"/>
  <c r="M36" i="34" s="1"/>
  <c r="AO17" i="33"/>
  <c r="D44" i="34" s="1"/>
  <c r="AM17" i="33"/>
  <c r="D42" i="34" s="1"/>
  <c r="EI17" i="33"/>
  <c r="W32" i="34" s="1"/>
  <c r="AG17" i="33"/>
  <c r="D36" i="34" s="1"/>
  <c r="FA17" i="33"/>
  <c r="W12" i="34" s="1"/>
  <c r="CN17" i="33"/>
  <c r="M40" i="34" s="1"/>
  <c r="AB17" i="33"/>
  <c r="D31" i="34" s="1"/>
  <c r="W17" i="33"/>
  <c r="D26" i="34" s="1"/>
  <c r="AI17" i="33"/>
  <c r="D38" i="34" s="1"/>
  <c r="EX17" i="33"/>
  <c r="W9" i="34" s="1"/>
  <c r="DA17" i="33"/>
  <c r="M15" i="34" s="1"/>
  <c r="CB17" i="33"/>
  <c r="M28" i="34" s="1"/>
  <c r="CZ17" i="33"/>
  <c r="M14" i="34" s="1"/>
  <c r="EK17" i="33"/>
  <c r="W34" i="34" s="1"/>
  <c r="CE17" i="33"/>
  <c r="M31" i="34" s="1"/>
  <c r="AU17" i="33"/>
  <c r="D12" i="34" s="1"/>
  <c r="EE17" i="33"/>
  <c r="W28" i="34" s="1"/>
  <c r="EO17" i="33"/>
  <c r="W38" i="34" s="1"/>
  <c r="AX17" i="33"/>
  <c r="D15" i="34" s="1"/>
  <c r="BC17" i="33"/>
  <c r="D20" i="34" s="1"/>
  <c r="EM17" i="33"/>
  <c r="W36" i="34" s="1"/>
  <c r="AA17" i="33"/>
  <c r="D30" i="34" s="1"/>
  <c r="EL17" i="33"/>
  <c r="W35" i="34" s="1"/>
  <c r="AJ17" i="33"/>
  <c r="D39" i="34" s="1"/>
  <c r="AZ17" i="33"/>
  <c r="D17" i="34" s="1"/>
  <c r="AC17" i="33"/>
  <c r="D32" i="34" s="1"/>
  <c r="AN17" i="33"/>
  <c r="D43" i="34" s="1"/>
  <c r="CP17" i="33"/>
  <c r="M42" i="34" s="1"/>
  <c r="ES17" i="33"/>
  <c r="W42" i="34" s="1"/>
  <c r="AR17" i="33"/>
  <c r="D9" i="34" s="1"/>
  <c r="EH17" i="33"/>
  <c r="W31" i="34" s="1"/>
  <c r="EP17" i="33"/>
  <c r="W39" i="34" s="1"/>
  <c r="FI17" i="33"/>
  <c r="W20" i="34" s="1"/>
  <c r="EZ17" i="33"/>
  <c r="W11" i="34" s="1"/>
  <c r="EC17" i="33"/>
  <c r="W26" i="34" s="1"/>
  <c r="DC17" i="33"/>
  <c r="M17" i="34" s="1"/>
  <c r="EU17" i="33"/>
  <c r="W44" i="34" s="1"/>
  <c r="CD17" i="33"/>
  <c r="M30" i="34" s="1"/>
  <c r="FF17" i="33"/>
  <c r="W17" i="34" s="1"/>
  <c r="CR17" i="33"/>
  <c r="M44" i="34" s="1"/>
  <c r="AF17" i="33"/>
  <c r="D35" i="34" s="1"/>
  <c r="CH17" i="33"/>
  <c r="M34" i="34" s="1"/>
  <c r="FD17" i="33"/>
  <c r="W15" i="34" s="1"/>
  <c r="CQ17" i="33"/>
  <c r="M43" i="34" s="1"/>
  <c r="CW17" i="33"/>
  <c r="M11" i="34" s="1"/>
  <c r="EQ17" i="33"/>
  <c r="W40" i="34" s="1"/>
  <c r="CI17" i="33"/>
  <c r="M35" i="34" s="1"/>
  <c r="AK17" i="33"/>
  <c r="D40" i="34" s="1"/>
  <c r="AE17" i="33"/>
  <c r="D34" i="34" s="1"/>
  <c r="CX17" i="33"/>
  <c r="M12" i="34" s="1"/>
  <c r="DI16" i="33"/>
  <c r="C16" i="33"/>
  <c r="BF16" i="33"/>
  <c r="C12" i="33"/>
  <c r="AD12" i="33"/>
  <c r="AH12" i="33"/>
  <c r="CO16" i="33"/>
  <c r="AL12" i="33"/>
  <c r="EJ16" i="33"/>
  <c r="Z12" i="33"/>
  <c r="AL16" i="33"/>
  <c r="AD16" i="33"/>
  <c r="Z16" i="33"/>
  <c r="AH16" i="33"/>
  <c r="ER16" i="33"/>
  <c r="CK16" i="33"/>
  <c r="EN16" i="33"/>
  <c r="CG16" i="33"/>
  <c r="CC16" i="33"/>
  <c r="EF16" i="33"/>
  <c r="BU8" i="33"/>
  <c r="R11" i="33"/>
  <c r="DX12" i="33"/>
  <c r="EN7" i="33"/>
  <c r="BF8" i="33"/>
  <c r="DS13" i="33"/>
  <c r="M8" i="33"/>
  <c r="BP10" i="33"/>
  <c r="DI9" i="33"/>
  <c r="C13" i="33"/>
  <c r="BF13" i="33"/>
  <c r="DI11" i="33"/>
  <c r="DI12" i="33"/>
  <c r="DI10" i="33"/>
  <c r="DI7" i="33"/>
  <c r="C8" i="33"/>
  <c r="BF11" i="33"/>
  <c r="BF12" i="33"/>
  <c r="BF10" i="33"/>
  <c r="C7" i="33"/>
  <c r="BF9" i="33"/>
  <c r="C9" i="33"/>
  <c r="DI6" i="33"/>
  <c r="BF7" i="33"/>
  <c r="DI8" i="33"/>
  <c r="DI13" i="33"/>
  <c r="BF6" i="33"/>
  <c r="C10" i="33"/>
  <c r="C11" i="33"/>
  <c r="C6" i="33"/>
  <c r="CG12" i="33"/>
  <c r="ER12" i="33"/>
  <c r="EJ12" i="33"/>
  <c r="EF12" i="33"/>
  <c r="CC12" i="33"/>
  <c r="CO12" i="33"/>
  <c r="EN12" i="33"/>
  <c r="CK12" i="33"/>
  <c r="AH7" i="33"/>
  <c r="EJ13" i="33"/>
  <c r="CK13" i="33"/>
  <c r="CO13" i="33"/>
  <c r="EN13" i="33"/>
  <c r="AD13" i="33"/>
  <c r="CC13" i="33"/>
  <c r="EF13" i="33"/>
  <c r="AL13" i="33"/>
  <c r="Z13" i="33"/>
  <c r="AH13" i="33"/>
  <c r="ER13" i="33"/>
  <c r="CG13" i="33"/>
  <c r="Z10" i="33"/>
  <c r="ER10" i="33"/>
  <c r="AL10" i="33"/>
  <c r="EF10" i="33"/>
  <c r="EN10" i="33"/>
  <c r="CO10" i="33"/>
  <c r="CG10" i="33"/>
  <c r="CC10" i="33"/>
  <c r="AH10" i="33"/>
  <c r="AD10" i="33"/>
  <c r="EJ10" i="33"/>
  <c r="CK10" i="33"/>
  <c r="AH9" i="33"/>
  <c r="AD9" i="33"/>
  <c r="AL9" i="33"/>
  <c r="CC9" i="33"/>
  <c r="ER9" i="33"/>
  <c r="CG9" i="33"/>
  <c r="EF9" i="33"/>
  <c r="CO9" i="33"/>
  <c r="EN9" i="33"/>
  <c r="Z9" i="33"/>
  <c r="CK9" i="33"/>
  <c r="EJ9" i="33"/>
  <c r="EN8" i="33"/>
  <c r="ER8" i="33"/>
  <c r="EJ8" i="33"/>
  <c r="AD8" i="33"/>
  <c r="EF8" i="33"/>
  <c r="CO8" i="33"/>
  <c r="Z8" i="33"/>
  <c r="CC8" i="33"/>
  <c r="AH8" i="33"/>
  <c r="AL8" i="33"/>
  <c r="CK8" i="33"/>
  <c r="CG8" i="33"/>
  <c r="CK7" i="33"/>
  <c r="AL7" i="33"/>
  <c r="EJ7" i="33"/>
  <c r="CO7" i="33"/>
  <c r="CC7" i="33"/>
  <c r="Z7" i="33"/>
  <c r="AD7" i="33"/>
  <c r="EF7" i="33"/>
  <c r="ER7" i="33"/>
  <c r="CG7" i="33"/>
  <c r="CG6" i="33"/>
  <c r="CO6" i="33"/>
  <c r="CK6" i="33"/>
  <c r="EJ6" i="33"/>
  <c r="AL6" i="33"/>
  <c r="EN6" i="33"/>
  <c r="Z6" i="33"/>
  <c r="AD6" i="33"/>
  <c r="EF6" i="33"/>
  <c r="CC6" i="33"/>
  <c r="ER6" i="33"/>
  <c r="AH6" i="33"/>
  <c r="DN16" i="33"/>
  <c r="BK16" i="33"/>
  <c r="A79" i="1"/>
  <c r="A43" i="1"/>
  <c r="Q25" i="1"/>
  <c r="R25" i="1"/>
  <c r="S25" i="1"/>
  <c r="T25" i="1"/>
  <c r="U25" i="1"/>
  <c r="V25" i="1"/>
  <c r="W25" i="1"/>
  <c r="X25" i="1"/>
  <c r="Y25" i="1"/>
  <c r="Z25" i="1"/>
  <c r="AA25" i="1"/>
  <c r="AB25" i="1"/>
  <c r="AC25" i="1"/>
  <c r="AD25" i="1"/>
  <c r="AE25" i="1"/>
  <c r="AF25" i="1"/>
  <c r="AG25" i="1"/>
  <c r="AH25" i="1"/>
  <c r="AI25" i="1"/>
  <c r="AJ25" i="1"/>
  <c r="AK25" i="1"/>
  <c r="AL25" i="1"/>
  <c r="AM25" i="1"/>
  <c r="AN25" i="1"/>
  <c r="AO25" i="1"/>
  <c r="AP25" i="1"/>
  <c r="AQ25" i="1"/>
  <c r="AR25" i="1"/>
  <c r="AP16" i="33" l="1"/>
  <c r="R16" i="33"/>
  <c r="BU16" i="33"/>
  <c r="DX16" i="33"/>
  <c r="DS16" i="33"/>
  <c r="M16" i="33"/>
  <c r="BP16" i="33"/>
  <c r="H12" i="33"/>
  <c r="H16" i="33"/>
  <c r="AS16" i="33"/>
  <c r="BU7" i="33"/>
  <c r="R15" i="33"/>
  <c r="BU11" i="33"/>
  <c r="DX10" i="33"/>
  <c r="M15" i="33"/>
  <c r="DE16" i="33"/>
  <c r="FE16" i="33"/>
  <c r="AP12" i="33"/>
  <c r="EY16" i="33"/>
  <c r="BB16" i="33"/>
  <c r="BB12" i="33"/>
  <c r="DN13" i="33"/>
  <c r="EV16" i="33"/>
  <c r="CS16" i="33"/>
  <c r="DB16" i="33"/>
  <c r="AS11" i="33"/>
  <c r="CV16" i="33"/>
  <c r="AS12" i="33"/>
  <c r="FH16" i="33"/>
  <c r="AY16" i="33"/>
  <c r="AY12" i="33"/>
  <c r="CY16" i="33"/>
  <c r="AV16" i="33"/>
  <c r="BY16" i="33"/>
  <c r="BF15" i="33"/>
  <c r="AV12" i="33"/>
  <c r="R12" i="33"/>
  <c r="V16" i="33"/>
  <c r="V12" i="33"/>
  <c r="DX15" i="33"/>
  <c r="H11" i="33"/>
  <c r="DI15" i="33"/>
  <c r="FB16" i="33"/>
  <c r="M12" i="33"/>
  <c r="BP15" i="33"/>
  <c r="C15" i="33"/>
  <c r="EB16" i="33"/>
  <c r="DX7" i="33"/>
  <c r="DX8" i="33"/>
  <c r="BU10" i="33"/>
  <c r="BU9" i="33"/>
  <c r="DX13" i="33"/>
  <c r="BU12" i="33"/>
  <c r="DX6" i="33"/>
  <c r="DX9" i="33"/>
  <c r="BU13" i="33"/>
  <c r="BU6" i="33"/>
  <c r="DX11" i="33"/>
  <c r="CY11" i="33"/>
  <c r="BP6" i="33"/>
  <c r="BP7" i="33"/>
  <c r="BP8" i="33"/>
  <c r="BP13" i="33"/>
  <c r="BP9" i="33"/>
  <c r="BP12" i="33"/>
  <c r="BP11" i="33"/>
  <c r="DS6" i="33"/>
  <c r="DS12" i="33"/>
  <c r="DS10" i="33"/>
  <c r="DS9" i="33"/>
  <c r="DS8" i="33"/>
  <c r="DS11" i="33"/>
  <c r="DS7" i="33"/>
  <c r="H13" i="33"/>
  <c r="H10" i="33"/>
  <c r="EB11" i="33"/>
  <c r="EB13" i="33"/>
  <c r="BY7" i="33"/>
  <c r="BY13" i="33"/>
  <c r="V9" i="33"/>
  <c r="V10" i="33"/>
  <c r="V6" i="33"/>
  <c r="V8" i="33"/>
  <c r="V13" i="33"/>
  <c r="V7" i="33"/>
  <c r="V11" i="33"/>
  <c r="AV8" i="33"/>
  <c r="FB12" i="33"/>
  <c r="AS13" i="33"/>
  <c r="H8" i="33"/>
  <c r="H7" i="33"/>
  <c r="H6" i="33"/>
  <c r="H9" i="33"/>
  <c r="R7" i="33"/>
  <c r="R6" i="33"/>
  <c r="R13" i="33"/>
  <c r="R10" i="33"/>
  <c r="R8" i="33"/>
  <c r="M13" i="33"/>
  <c r="R9" i="33"/>
  <c r="M7" i="33"/>
  <c r="EB9" i="33"/>
  <c r="EB6" i="33"/>
  <c r="M10" i="33"/>
  <c r="M11" i="33"/>
  <c r="EB8" i="33"/>
  <c r="BY9" i="33"/>
  <c r="EB10" i="33"/>
  <c r="EB7" i="33"/>
  <c r="M9" i="33"/>
  <c r="BY6" i="33"/>
  <c r="BY11" i="33"/>
  <c r="M6" i="33"/>
  <c r="BY8" i="33"/>
  <c r="BY12" i="33"/>
  <c r="EB12" i="33"/>
  <c r="BY10" i="33"/>
  <c r="CS13" i="33"/>
  <c r="CS8" i="33"/>
  <c r="CS11" i="33"/>
  <c r="CS6" i="33"/>
  <c r="CS9" i="33"/>
  <c r="CS12" i="33"/>
  <c r="CS7" i="33"/>
  <c r="CS10" i="33"/>
  <c r="DB12" i="33"/>
  <c r="DB10" i="33"/>
  <c r="DB13" i="33"/>
  <c r="DB11" i="33"/>
  <c r="DB9" i="33"/>
  <c r="DB7" i="33"/>
  <c r="DB8" i="33"/>
  <c r="DB6" i="33"/>
  <c r="BK6" i="33"/>
  <c r="DN9" i="33"/>
  <c r="BK11" i="33"/>
  <c r="CY10" i="33"/>
  <c r="CY13" i="33"/>
  <c r="AP11" i="33"/>
  <c r="AP10" i="33"/>
  <c r="AP9" i="33"/>
  <c r="AP8" i="33"/>
  <c r="AP7" i="33"/>
  <c r="AP6" i="33"/>
  <c r="AP13" i="33"/>
  <c r="FH13" i="33"/>
  <c r="FH11" i="33"/>
  <c r="FH9" i="33"/>
  <c r="FH7" i="33"/>
  <c r="FH12" i="33"/>
  <c r="FH10" i="33"/>
  <c r="FH8" i="33"/>
  <c r="FH6" i="33"/>
  <c r="FB7" i="33"/>
  <c r="CY12" i="33"/>
  <c r="AS6" i="33"/>
  <c r="AV13" i="33"/>
  <c r="EY11" i="33"/>
  <c r="EY9" i="33"/>
  <c r="EY7" i="33"/>
  <c r="EY13" i="33"/>
  <c r="EY12" i="33"/>
  <c r="EY10" i="33"/>
  <c r="EY8" i="33"/>
  <c r="EY6" i="33"/>
  <c r="BB10" i="33"/>
  <c r="BB8" i="33"/>
  <c r="BB6" i="33"/>
  <c r="BB13" i="33"/>
  <c r="BB11" i="33"/>
  <c r="BB9" i="33"/>
  <c r="BB7" i="33"/>
  <c r="BK8" i="33"/>
  <c r="BK10" i="33"/>
  <c r="FB6" i="33"/>
  <c r="FB9" i="33"/>
  <c r="AS8" i="33"/>
  <c r="AS7" i="33"/>
  <c r="AV9" i="33"/>
  <c r="DE13" i="33"/>
  <c r="DE11" i="33"/>
  <c r="DE9" i="33"/>
  <c r="DE7" i="33"/>
  <c r="DE12" i="33"/>
  <c r="DE10" i="33"/>
  <c r="DE8" i="33"/>
  <c r="DE6" i="33"/>
  <c r="AY13" i="33"/>
  <c r="AY11" i="33"/>
  <c r="AY9" i="33"/>
  <c r="AY10" i="33"/>
  <c r="AY8" i="33"/>
  <c r="AY6" i="33"/>
  <c r="AY7" i="33"/>
  <c r="DN8" i="33"/>
  <c r="DN10" i="33"/>
  <c r="FB8" i="33"/>
  <c r="FB11" i="33"/>
  <c r="AS10" i="33"/>
  <c r="AS9" i="33"/>
  <c r="AV6" i="33"/>
  <c r="DN7" i="33"/>
  <c r="FB10" i="33"/>
  <c r="FB13" i="33"/>
  <c r="CV13" i="33"/>
  <c r="CV11" i="33"/>
  <c r="CV9" i="33"/>
  <c r="CV7" i="33"/>
  <c r="CV12" i="33"/>
  <c r="CV10" i="33"/>
  <c r="CV8" i="33"/>
  <c r="CV6" i="33"/>
  <c r="FE12" i="33"/>
  <c r="FE10" i="33"/>
  <c r="FE13" i="33"/>
  <c r="FE11" i="33"/>
  <c r="FE9" i="33"/>
  <c r="FE7" i="33"/>
  <c r="FE8" i="33"/>
  <c r="FE6" i="33"/>
  <c r="BK7" i="33"/>
  <c r="BK12" i="33"/>
  <c r="CY7" i="33"/>
  <c r="AV10" i="33"/>
  <c r="AV11" i="33"/>
  <c r="EV13" i="33"/>
  <c r="EV8" i="33"/>
  <c r="EV11" i="33"/>
  <c r="EV6" i="33"/>
  <c r="EV9" i="33"/>
  <c r="EV12" i="33"/>
  <c r="EV7" i="33"/>
  <c r="EV10" i="33"/>
  <c r="BK9" i="33"/>
  <c r="DN11" i="33"/>
  <c r="DN12" i="33"/>
  <c r="CY6" i="33"/>
  <c r="CY9" i="33"/>
  <c r="AV7" i="33"/>
  <c r="DN6" i="33"/>
  <c r="BK13" i="33"/>
  <c r="CY8" i="33"/>
  <c r="A31" i="1"/>
  <c r="A49" i="1" s="1"/>
  <c r="A60" i="1" s="1"/>
  <c r="A32" i="1"/>
  <c r="A50" i="1" s="1"/>
  <c r="A61" i="1" s="1"/>
  <c r="A33" i="1"/>
  <c r="A51" i="1" s="1"/>
  <c r="A62" i="1" s="1"/>
  <c r="A34" i="1"/>
  <c r="A35" i="1"/>
  <c r="A52" i="1" s="1"/>
  <c r="A63" i="1" s="1"/>
  <c r="A36" i="1"/>
  <c r="A53" i="1" s="1"/>
  <c r="A64" i="1" s="1"/>
  <c r="A37" i="1"/>
  <c r="A54" i="1" s="1"/>
  <c r="A65" i="1" s="1"/>
  <c r="A38" i="1"/>
  <c r="A39" i="1"/>
  <c r="A55" i="1" s="1"/>
  <c r="A66" i="1" s="1"/>
  <c r="A40" i="1"/>
  <c r="A41" i="1"/>
  <c r="A42" i="1"/>
  <c r="A45" i="1"/>
  <c r="Q17" i="1"/>
  <c r="B36" i="1" s="1"/>
  <c r="R17" i="1"/>
  <c r="C36" i="1" s="1"/>
  <c r="S17" i="1"/>
  <c r="D36" i="1" s="1"/>
  <c r="T17" i="1"/>
  <c r="E36" i="1" s="1"/>
  <c r="U17" i="1"/>
  <c r="F36" i="1" s="1"/>
  <c r="V17" i="1"/>
  <c r="G36" i="1" s="1"/>
  <c r="W17" i="1"/>
  <c r="H36" i="1" s="1"/>
  <c r="X17" i="1"/>
  <c r="I36" i="1" s="1"/>
  <c r="Y17" i="1"/>
  <c r="J36" i="1" s="1"/>
  <c r="Z17" i="1"/>
  <c r="K36" i="1" s="1"/>
  <c r="AA17" i="1"/>
  <c r="L36" i="1" s="1"/>
  <c r="AB17" i="1"/>
  <c r="M36" i="1" s="1"/>
  <c r="AC17" i="1"/>
  <c r="N36" i="1" s="1"/>
  <c r="AD17" i="1"/>
  <c r="O36" i="1" s="1"/>
  <c r="AE17" i="1"/>
  <c r="P36" i="1" s="1"/>
  <c r="AF17" i="1"/>
  <c r="Q36" i="1" s="1"/>
  <c r="AG17" i="1"/>
  <c r="R36" i="1" s="1"/>
  <c r="AH17" i="1"/>
  <c r="S36" i="1" s="1"/>
  <c r="AI17" i="1"/>
  <c r="T36" i="1" s="1"/>
  <c r="AJ17" i="1"/>
  <c r="U36" i="1" s="1"/>
  <c r="AK17" i="1"/>
  <c r="V36" i="1" s="1"/>
  <c r="AL17" i="1"/>
  <c r="W36" i="1" s="1"/>
  <c r="AM17" i="1"/>
  <c r="X36" i="1" s="1"/>
  <c r="AN17" i="1"/>
  <c r="Y36" i="1" s="1"/>
  <c r="AO17" i="1"/>
  <c r="Z36" i="1" s="1"/>
  <c r="AP17" i="1"/>
  <c r="AA36" i="1" s="1"/>
  <c r="AQ17" i="1"/>
  <c r="AB36" i="1" s="1"/>
  <c r="AR17" i="1"/>
  <c r="AC36" i="1" s="1"/>
  <c r="A30" i="1"/>
  <c r="A48" i="1" s="1"/>
  <c r="A59" i="1" s="1"/>
  <c r="K41" i="28" l="1"/>
  <c r="N41" i="28"/>
  <c r="J41" i="28"/>
  <c r="I37" i="28"/>
  <c r="V37" i="28"/>
  <c r="AC41" i="28"/>
  <c r="AA39" i="28"/>
  <c r="Q41" i="28"/>
  <c r="DS14" i="33"/>
  <c r="DS15" i="33"/>
  <c r="BU14" i="33"/>
  <c r="BU15" i="33"/>
  <c r="X37" i="28"/>
  <c r="CV15" i="33"/>
  <c r="AV15" i="33"/>
  <c r="FB15" i="33"/>
  <c r="EB15" i="33"/>
  <c r="BK15" i="33"/>
  <c r="DN15" i="33"/>
  <c r="V15" i="33"/>
  <c r="EY15" i="33"/>
  <c r="AS15" i="33"/>
  <c r="FE15" i="33"/>
  <c r="AY15" i="33"/>
  <c r="CY15" i="33"/>
  <c r="DB15" i="33"/>
  <c r="H15" i="33"/>
  <c r="AE37" i="28"/>
  <c r="CO11" i="33"/>
  <c r="ER11" i="33"/>
  <c r="EJ11" i="33"/>
  <c r="AL11" i="33"/>
  <c r="Z11" i="33"/>
  <c r="AD11" i="33"/>
  <c r="CG11" i="33"/>
  <c r="AH11" i="33"/>
  <c r="CC11" i="33"/>
  <c r="CK11" i="33"/>
  <c r="EF11" i="33"/>
  <c r="EN11" i="33"/>
  <c r="U41" i="28"/>
  <c r="Y40" i="28"/>
  <c r="AC40" i="28"/>
  <c r="AB40" i="28"/>
  <c r="G41" i="28"/>
  <c r="Y41" i="28"/>
  <c r="X41" i="28"/>
  <c r="T37" i="28"/>
  <c r="AB37" i="28"/>
  <c r="FH15" i="33"/>
  <c r="O37" i="28"/>
  <c r="DE15" i="33"/>
  <c r="BB15" i="33"/>
  <c r="G37" i="28"/>
  <c r="AE41" i="28"/>
  <c r="K40" i="28"/>
  <c r="K37" i="28"/>
  <c r="Q40" i="28"/>
  <c r="W41" i="28"/>
  <c r="H37" i="28"/>
  <c r="Z41" i="28"/>
  <c r="AD41" i="28"/>
  <c r="J37" i="28"/>
  <c r="M40" i="28"/>
  <c r="U37" i="28"/>
  <c r="I41" i="28"/>
  <c r="AE40" i="28"/>
  <c r="AB41" i="28"/>
  <c r="W40" i="28"/>
  <c r="U40" i="28"/>
  <c r="N40" i="28"/>
  <c r="J40" i="28"/>
  <c r="S40" i="28"/>
  <c r="Z40" i="28"/>
  <c r="I40" i="28"/>
  <c r="S41" i="28"/>
  <c r="T41" i="28"/>
  <c r="X40" i="28"/>
  <c r="AD40" i="28"/>
  <c r="AA41" i="28"/>
  <c r="O53" i="1"/>
  <c r="AC53" i="1"/>
  <c r="U53" i="1"/>
  <c r="M53" i="1"/>
  <c r="E53" i="1"/>
  <c r="AB53" i="1"/>
  <c r="T53" i="1"/>
  <c r="L53" i="1"/>
  <c r="D53" i="1"/>
  <c r="W53" i="1"/>
  <c r="AA53" i="1"/>
  <c r="K53" i="1"/>
  <c r="C53" i="1"/>
  <c r="R53" i="1"/>
  <c r="I53" i="1"/>
  <c r="G53" i="1"/>
  <c r="S53" i="1"/>
  <c r="Z53" i="1"/>
  <c r="J53" i="1"/>
  <c r="Y53" i="1"/>
  <c r="Q53" i="1"/>
  <c r="X53" i="1"/>
  <c r="P53" i="1"/>
  <c r="H53" i="1"/>
  <c r="V53" i="1"/>
  <c r="N53" i="1"/>
  <c r="F53" i="1"/>
  <c r="A78" i="1"/>
  <c r="B53" i="1"/>
  <c r="A70" i="1"/>
  <c r="A77" i="1"/>
  <c r="A76" i="1"/>
  <c r="A71" i="1"/>
  <c r="A75" i="1"/>
  <c r="A74" i="1"/>
  <c r="A73" i="1"/>
  <c r="A72" i="1"/>
  <c r="Q12" i="1"/>
  <c r="B31" i="1" s="1"/>
  <c r="R12" i="1"/>
  <c r="C31" i="1" s="1"/>
  <c r="S12" i="1"/>
  <c r="D31" i="1" s="1"/>
  <c r="T12" i="1"/>
  <c r="E31" i="1" s="1"/>
  <c r="U12" i="1"/>
  <c r="F31" i="1" s="1"/>
  <c r="V12" i="1"/>
  <c r="G31" i="1" s="1"/>
  <c r="W12" i="1"/>
  <c r="H31" i="1" s="1"/>
  <c r="X12" i="1"/>
  <c r="I31" i="1" s="1"/>
  <c r="Y12" i="1"/>
  <c r="J31" i="1" s="1"/>
  <c r="Z12" i="1"/>
  <c r="K31" i="1" s="1"/>
  <c r="AA12" i="1"/>
  <c r="L31" i="1" s="1"/>
  <c r="AB12" i="1"/>
  <c r="M31" i="1" s="1"/>
  <c r="AC12" i="1"/>
  <c r="N31" i="1" s="1"/>
  <c r="AD12" i="1"/>
  <c r="O31" i="1" s="1"/>
  <c r="AE12" i="1"/>
  <c r="P31" i="1" s="1"/>
  <c r="AF12" i="1"/>
  <c r="Q31" i="1" s="1"/>
  <c r="AG12" i="1"/>
  <c r="R31" i="1" s="1"/>
  <c r="AH12" i="1"/>
  <c r="S31" i="1" s="1"/>
  <c r="AI12" i="1"/>
  <c r="T31" i="1" s="1"/>
  <c r="AJ12" i="1"/>
  <c r="U31" i="1" s="1"/>
  <c r="AK12" i="1"/>
  <c r="V31" i="1" s="1"/>
  <c r="AL12" i="1"/>
  <c r="W31" i="1" s="1"/>
  <c r="AM12" i="1"/>
  <c r="X31" i="1" s="1"/>
  <c r="AN12" i="1"/>
  <c r="Y31" i="1" s="1"/>
  <c r="AO12" i="1"/>
  <c r="Z31" i="1" s="1"/>
  <c r="AP12" i="1"/>
  <c r="AA31" i="1" s="1"/>
  <c r="AQ12" i="1"/>
  <c r="AB31" i="1" s="1"/>
  <c r="AR12" i="1"/>
  <c r="AC31" i="1" s="1"/>
  <c r="Q13" i="1"/>
  <c r="R13" i="1"/>
  <c r="C32" i="1" s="1"/>
  <c r="S13" i="1"/>
  <c r="D32" i="1" s="1"/>
  <c r="T13" i="1"/>
  <c r="E32" i="1" s="1"/>
  <c r="U13" i="1"/>
  <c r="F32" i="1" s="1"/>
  <c r="V13" i="1"/>
  <c r="G32" i="1" s="1"/>
  <c r="W13" i="1"/>
  <c r="H32" i="1" s="1"/>
  <c r="X13" i="1"/>
  <c r="I32" i="1" s="1"/>
  <c r="Y13" i="1"/>
  <c r="J32" i="1" s="1"/>
  <c r="Z13" i="1"/>
  <c r="K32" i="1" s="1"/>
  <c r="AA13" i="1"/>
  <c r="L32" i="1" s="1"/>
  <c r="AB13" i="1"/>
  <c r="M32" i="1" s="1"/>
  <c r="AC13" i="1"/>
  <c r="N32" i="1" s="1"/>
  <c r="AD13" i="1"/>
  <c r="O32" i="1" s="1"/>
  <c r="AE13" i="1"/>
  <c r="P32" i="1" s="1"/>
  <c r="AF13" i="1"/>
  <c r="Q32" i="1" s="1"/>
  <c r="AG13" i="1"/>
  <c r="R32" i="1" s="1"/>
  <c r="AH13" i="1"/>
  <c r="S32" i="1" s="1"/>
  <c r="AI13" i="1"/>
  <c r="T32" i="1" s="1"/>
  <c r="AJ13" i="1"/>
  <c r="U32" i="1" s="1"/>
  <c r="AK13" i="1"/>
  <c r="V32" i="1" s="1"/>
  <c r="AL13" i="1"/>
  <c r="W32" i="1" s="1"/>
  <c r="AM13" i="1"/>
  <c r="X32" i="1" s="1"/>
  <c r="AN13" i="1"/>
  <c r="Y32" i="1" s="1"/>
  <c r="AO13" i="1"/>
  <c r="Z32" i="1" s="1"/>
  <c r="AP13" i="1"/>
  <c r="AA32" i="1" s="1"/>
  <c r="AQ13" i="1"/>
  <c r="AB32" i="1" s="1"/>
  <c r="AR13" i="1"/>
  <c r="AC32" i="1" s="1"/>
  <c r="Q14" i="1"/>
  <c r="B33" i="1" s="1"/>
  <c r="R14" i="1"/>
  <c r="C33" i="1" s="1"/>
  <c r="S14" i="1"/>
  <c r="D33" i="1" s="1"/>
  <c r="T14" i="1"/>
  <c r="E33" i="1" s="1"/>
  <c r="U14" i="1"/>
  <c r="F33" i="1" s="1"/>
  <c r="V14" i="1"/>
  <c r="G33" i="1" s="1"/>
  <c r="W14" i="1"/>
  <c r="H33" i="1" s="1"/>
  <c r="X14" i="1"/>
  <c r="I33" i="1" s="1"/>
  <c r="Y14" i="1"/>
  <c r="J33" i="1" s="1"/>
  <c r="Z14" i="1"/>
  <c r="K33" i="1" s="1"/>
  <c r="AA14" i="1"/>
  <c r="L33" i="1" s="1"/>
  <c r="AB14" i="1"/>
  <c r="M33" i="1" s="1"/>
  <c r="AC14" i="1"/>
  <c r="N33" i="1" s="1"/>
  <c r="AD14" i="1"/>
  <c r="O33" i="1" s="1"/>
  <c r="AE14" i="1"/>
  <c r="P33" i="1" s="1"/>
  <c r="AF14" i="1"/>
  <c r="Q33" i="1" s="1"/>
  <c r="AG14" i="1"/>
  <c r="R33" i="1" s="1"/>
  <c r="AH14" i="1"/>
  <c r="S33" i="1" s="1"/>
  <c r="AI14" i="1"/>
  <c r="T33" i="1" s="1"/>
  <c r="AJ14" i="1"/>
  <c r="U33" i="1" s="1"/>
  <c r="AK14" i="1"/>
  <c r="V33" i="1" s="1"/>
  <c r="AL14" i="1"/>
  <c r="W33" i="1" s="1"/>
  <c r="AM14" i="1"/>
  <c r="X33" i="1" s="1"/>
  <c r="AN14" i="1"/>
  <c r="Y33" i="1" s="1"/>
  <c r="AO14" i="1"/>
  <c r="Z33" i="1" s="1"/>
  <c r="AP14" i="1"/>
  <c r="AA33" i="1" s="1"/>
  <c r="AQ14" i="1"/>
  <c r="AB33" i="1" s="1"/>
  <c r="AR14" i="1"/>
  <c r="AC33" i="1" s="1"/>
  <c r="Q15" i="1"/>
  <c r="R15" i="1"/>
  <c r="C34" i="1" s="1"/>
  <c r="S15" i="1"/>
  <c r="D34" i="1" s="1"/>
  <c r="T15" i="1"/>
  <c r="E34" i="1" s="1"/>
  <c r="U15" i="1"/>
  <c r="F34" i="1" s="1"/>
  <c r="V15" i="1"/>
  <c r="G34" i="1" s="1"/>
  <c r="W15" i="1"/>
  <c r="H34" i="1" s="1"/>
  <c r="X15" i="1"/>
  <c r="I34" i="1" s="1"/>
  <c r="Y15" i="1"/>
  <c r="J34" i="1" s="1"/>
  <c r="Z15" i="1"/>
  <c r="K34" i="1" s="1"/>
  <c r="AA15" i="1"/>
  <c r="L34" i="1" s="1"/>
  <c r="AB15" i="1"/>
  <c r="M34" i="1" s="1"/>
  <c r="AC15" i="1"/>
  <c r="N34" i="1" s="1"/>
  <c r="AD15" i="1"/>
  <c r="O34" i="1" s="1"/>
  <c r="AE15" i="1"/>
  <c r="P34" i="1" s="1"/>
  <c r="AF15" i="1"/>
  <c r="Q34" i="1" s="1"/>
  <c r="AG15" i="1"/>
  <c r="R34" i="1" s="1"/>
  <c r="AH15" i="1"/>
  <c r="S34" i="1" s="1"/>
  <c r="AI15" i="1"/>
  <c r="T34" i="1" s="1"/>
  <c r="AJ15" i="1"/>
  <c r="U34" i="1" s="1"/>
  <c r="AK15" i="1"/>
  <c r="V34" i="1" s="1"/>
  <c r="AL15" i="1"/>
  <c r="W34" i="1" s="1"/>
  <c r="AM15" i="1"/>
  <c r="X34" i="1" s="1"/>
  <c r="AN15" i="1"/>
  <c r="Y34" i="1" s="1"/>
  <c r="AO15" i="1"/>
  <c r="Z34" i="1" s="1"/>
  <c r="AP15" i="1"/>
  <c r="AA34" i="1" s="1"/>
  <c r="AQ15" i="1"/>
  <c r="AB34" i="1" s="1"/>
  <c r="AR15" i="1"/>
  <c r="AC34" i="1" s="1"/>
  <c r="Q16" i="1"/>
  <c r="R16" i="1"/>
  <c r="C35" i="1" s="1"/>
  <c r="S16" i="1"/>
  <c r="D35" i="1" s="1"/>
  <c r="T16" i="1"/>
  <c r="E35" i="1" s="1"/>
  <c r="U16" i="1"/>
  <c r="F35" i="1" s="1"/>
  <c r="V16" i="1"/>
  <c r="G35" i="1" s="1"/>
  <c r="W16" i="1"/>
  <c r="H35" i="1" s="1"/>
  <c r="X16" i="1"/>
  <c r="I35" i="1" s="1"/>
  <c r="Y16" i="1"/>
  <c r="J35" i="1" s="1"/>
  <c r="Z16" i="1"/>
  <c r="K35" i="1" s="1"/>
  <c r="AA16" i="1"/>
  <c r="L35" i="1" s="1"/>
  <c r="AB16" i="1"/>
  <c r="M35" i="1" s="1"/>
  <c r="AC16" i="1"/>
  <c r="N35" i="1" s="1"/>
  <c r="AD16" i="1"/>
  <c r="O35" i="1" s="1"/>
  <c r="AE16" i="1"/>
  <c r="P35" i="1" s="1"/>
  <c r="AF16" i="1"/>
  <c r="Q35" i="1" s="1"/>
  <c r="AG16" i="1"/>
  <c r="R35" i="1" s="1"/>
  <c r="AH16" i="1"/>
  <c r="S35" i="1" s="1"/>
  <c r="AI16" i="1"/>
  <c r="T35" i="1" s="1"/>
  <c r="AJ16" i="1"/>
  <c r="U35" i="1" s="1"/>
  <c r="AK16" i="1"/>
  <c r="V35" i="1" s="1"/>
  <c r="AL16" i="1"/>
  <c r="W35" i="1" s="1"/>
  <c r="AM16" i="1"/>
  <c r="X35" i="1" s="1"/>
  <c r="AN16" i="1"/>
  <c r="Y35" i="1" s="1"/>
  <c r="AO16" i="1"/>
  <c r="Z35" i="1" s="1"/>
  <c r="AP16" i="1"/>
  <c r="AA35" i="1" s="1"/>
  <c r="AQ16" i="1"/>
  <c r="AB35" i="1" s="1"/>
  <c r="AR16" i="1"/>
  <c r="AC35" i="1" s="1"/>
  <c r="Q18" i="1"/>
  <c r="R18" i="1"/>
  <c r="C37" i="1" s="1"/>
  <c r="S18" i="1"/>
  <c r="D37" i="1" s="1"/>
  <c r="T18" i="1"/>
  <c r="E37" i="1" s="1"/>
  <c r="U18" i="1"/>
  <c r="F37" i="1" s="1"/>
  <c r="V18" i="1"/>
  <c r="G37" i="1" s="1"/>
  <c r="W18" i="1"/>
  <c r="H37" i="1" s="1"/>
  <c r="X18" i="1"/>
  <c r="I37" i="1" s="1"/>
  <c r="Y18" i="1"/>
  <c r="J37" i="1" s="1"/>
  <c r="Z18" i="1"/>
  <c r="K37" i="1" s="1"/>
  <c r="AA18" i="1"/>
  <c r="L37" i="1" s="1"/>
  <c r="AB18" i="1"/>
  <c r="M37" i="1" s="1"/>
  <c r="AC18" i="1"/>
  <c r="N37" i="1" s="1"/>
  <c r="AD18" i="1"/>
  <c r="O37" i="1" s="1"/>
  <c r="AE18" i="1"/>
  <c r="P37" i="1" s="1"/>
  <c r="AF18" i="1"/>
  <c r="Q37" i="1" s="1"/>
  <c r="AG18" i="1"/>
  <c r="R37" i="1" s="1"/>
  <c r="AH18" i="1"/>
  <c r="S37" i="1" s="1"/>
  <c r="AI18" i="1"/>
  <c r="T37" i="1" s="1"/>
  <c r="AJ18" i="1"/>
  <c r="U37" i="1" s="1"/>
  <c r="AK18" i="1"/>
  <c r="V37" i="1" s="1"/>
  <c r="AL18" i="1"/>
  <c r="W37" i="1" s="1"/>
  <c r="AM18" i="1"/>
  <c r="X37" i="1" s="1"/>
  <c r="AN18" i="1"/>
  <c r="Y37" i="1" s="1"/>
  <c r="AO18" i="1"/>
  <c r="Z37" i="1" s="1"/>
  <c r="AP18" i="1"/>
  <c r="AA37" i="1" s="1"/>
  <c r="AQ18" i="1"/>
  <c r="AB37" i="1" s="1"/>
  <c r="AR18" i="1"/>
  <c r="AC37" i="1" s="1"/>
  <c r="Q19" i="1"/>
  <c r="R19" i="1"/>
  <c r="C38" i="1" s="1"/>
  <c r="S19" i="1"/>
  <c r="D38" i="1" s="1"/>
  <c r="T19" i="1"/>
  <c r="E38" i="1" s="1"/>
  <c r="U19" i="1"/>
  <c r="F38" i="1" s="1"/>
  <c r="V19" i="1"/>
  <c r="G38" i="1" s="1"/>
  <c r="W19" i="1"/>
  <c r="H38" i="1" s="1"/>
  <c r="X19" i="1"/>
  <c r="I38" i="1" s="1"/>
  <c r="Y19" i="1"/>
  <c r="J38" i="1" s="1"/>
  <c r="Z19" i="1"/>
  <c r="K38" i="1" s="1"/>
  <c r="AA19" i="1"/>
  <c r="L38" i="1" s="1"/>
  <c r="AB19" i="1"/>
  <c r="M38" i="1" s="1"/>
  <c r="AC19" i="1"/>
  <c r="N38" i="1" s="1"/>
  <c r="AD19" i="1"/>
  <c r="O38" i="1" s="1"/>
  <c r="AE19" i="1"/>
  <c r="P38" i="1" s="1"/>
  <c r="AF19" i="1"/>
  <c r="Q38" i="1" s="1"/>
  <c r="AG19" i="1"/>
  <c r="R38" i="1" s="1"/>
  <c r="AH19" i="1"/>
  <c r="S38" i="1" s="1"/>
  <c r="AI19" i="1"/>
  <c r="T38" i="1" s="1"/>
  <c r="AJ19" i="1"/>
  <c r="U38" i="1" s="1"/>
  <c r="AK19" i="1"/>
  <c r="V38" i="1" s="1"/>
  <c r="AL19" i="1"/>
  <c r="W38" i="1" s="1"/>
  <c r="AM19" i="1"/>
  <c r="X38" i="1" s="1"/>
  <c r="AN19" i="1"/>
  <c r="Y38" i="1" s="1"/>
  <c r="AO19" i="1"/>
  <c r="Z38" i="1" s="1"/>
  <c r="AP19" i="1"/>
  <c r="AA38" i="1" s="1"/>
  <c r="AQ19" i="1"/>
  <c r="AB38" i="1" s="1"/>
  <c r="AR19" i="1"/>
  <c r="AC38" i="1" s="1"/>
  <c r="Q20" i="1"/>
  <c r="R20" i="1"/>
  <c r="C39" i="1" s="1"/>
  <c r="S20" i="1"/>
  <c r="D39" i="1" s="1"/>
  <c r="T20" i="1"/>
  <c r="E39" i="1" s="1"/>
  <c r="U20" i="1"/>
  <c r="F39" i="1" s="1"/>
  <c r="V20" i="1"/>
  <c r="G39" i="1" s="1"/>
  <c r="W20" i="1"/>
  <c r="H39" i="1" s="1"/>
  <c r="X20" i="1"/>
  <c r="I39" i="1" s="1"/>
  <c r="Y20" i="1"/>
  <c r="J39" i="1" s="1"/>
  <c r="Z20" i="1"/>
  <c r="K39" i="1" s="1"/>
  <c r="AA20" i="1"/>
  <c r="L39" i="1" s="1"/>
  <c r="AB20" i="1"/>
  <c r="M39" i="1" s="1"/>
  <c r="AC20" i="1"/>
  <c r="N39" i="1" s="1"/>
  <c r="AD20" i="1"/>
  <c r="O39" i="1" s="1"/>
  <c r="AE20" i="1"/>
  <c r="P39" i="1" s="1"/>
  <c r="AF20" i="1"/>
  <c r="Q39" i="1" s="1"/>
  <c r="AG20" i="1"/>
  <c r="R39" i="1" s="1"/>
  <c r="AH20" i="1"/>
  <c r="S39" i="1" s="1"/>
  <c r="AI20" i="1"/>
  <c r="T39" i="1" s="1"/>
  <c r="AJ20" i="1"/>
  <c r="U39" i="1" s="1"/>
  <c r="AK20" i="1"/>
  <c r="V39" i="1" s="1"/>
  <c r="AL20" i="1"/>
  <c r="W39" i="1" s="1"/>
  <c r="AM20" i="1"/>
  <c r="X39" i="1" s="1"/>
  <c r="AN20" i="1"/>
  <c r="Y39" i="1" s="1"/>
  <c r="AO20" i="1"/>
  <c r="Z39" i="1" s="1"/>
  <c r="AP20" i="1"/>
  <c r="AA39" i="1" s="1"/>
  <c r="AQ20" i="1"/>
  <c r="AB39" i="1" s="1"/>
  <c r="AR20" i="1"/>
  <c r="AC39" i="1" s="1"/>
  <c r="Q21" i="1"/>
  <c r="R21" i="1"/>
  <c r="C40" i="1" s="1"/>
  <c r="S21" i="1"/>
  <c r="D40" i="1" s="1"/>
  <c r="T21" i="1"/>
  <c r="E40" i="1" s="1"/>
  <c r="U21" i="1"/>
  <c r="F40" i="1" s="1"/>
  <c r="V21" i="1"/>
  <c r="G40" i="1" s="1"/>
  <c r="W21" i="1"/>
  <c r="H40" i="1" s="1"/>
  <c r="X21" i="1"/>
  <c r="I40" i="1" s="1"/>
  <c r="Y21" i="1"/>
  <c r="J40" i="1" s="1"/>
  <c r="Z21" i="1"/>
  <c r="K40" i="1" s="1"/>
  <c r="AA21" i="1"/>
  <c r="L40" i="1" s="1"/>
  <c r="AB21" i="1"/>
  <c r="M40" i="1" s="1"/>
  <c r="AC21" i="1"/>
  <c r="N40" i="1" s="1"/>
  <c r="AD21" i="1"/>
  <c r="O40" i="1" s="1"/>
  <c r="AE21" i="1"/>
  <c r="P40" i="1" s="1"/>
  <c r="AF21" i="1"/>
  <c r="Q40" i="1" s="1"/>
  <c r="AG21" i="1"/>
  <c r="R40" i="1" s="1"/>
  <c r="AH21" i="1"/>
  <c r="S40" i="1" s="1"/>
  <c r="AI21" i="1"/>
  <c r="T40" i="1" s="1"/>
  <c r="AJ21" i="1"/>
  <c r="U40" i="1" s="1"/>
  <c r="AK21" i="1"/>
  <c r="V40" i="1" s="1"/>
  <c r="AL21" i="1"/>
  <c r="W40" i="1" s="1"/>
  <c r="AM21" i="1"/>
  <c r="X40" i="1" s="1"/>
  <c r="AN21" i="1"/>
  <c r="Y40" i="1" s="1"/>
  <c r="AO21" i="1"/>
  <c r="Z40" i="1" s="1"/>
  <c r="AP21" i="1"/>
  <c r="AA40" i="1" s="1"/>
  <c r="AQ21" i="1"/>
  <c r="AB40" i="1" s="1"/>
  <c r="AR21" i="1"/>
  <c r="AC40" i="1" s="1"/>
  <c r="Q22" i="1"/>
  <c r="R22" i="1"/>
  <c r="C41" i="1" s="1"/>
  <c r="S22" i="1"/>
  <c r="D41" i="1" s="1"/>
  <c r="T22" i="1"/>
  <c r="E41" i="1" s="1"/>
  <c r="U22" i="1"/>
  <c r="F41" i="1" s="1"/>
  <c r="V22" i="1"/>
  <c r="G41" i="1" s="1"/>
  <c r="W22" i="1"/>
  <c r="H41" i="1" s="1"/>
  <c r="X22" i="1"/>
  <c r="I41" i="1" s="1"/>
  <c r="Y22" i="1"/>
  <c r="J41" i="1" s="1"/>
  <c r="Z22" i="1"/>
  <c r="K41" i="1" s="1"/>
  <c r="AA22" i="1"/>
  <c r="L41" i="1" s="1"/>
  <c r="AB22" i="1"/>
  <c r="M41" i="1" s="1"/>
  <c r="AC22" i="1"/>
  <c r="N41" i="1" s="1"/>
  <c r="AD22" i="1"/>
  <c r="O41" i="1" s="1"/>
  <c r="AE22" i="1"/>
  <c r="P41" i="1" s="1"/>
  <c r="AF22" i="1"/>
  <c r="Q41" i="1" s="1"/>
  <c r="AG22" i="1"/>
  <c r="R41" i="1" s="1"/>
  <c r="AH22" i="1"/>
  <c r="S41" i="1" s="1"/>
  <c r="AI22" i="1"/>
  <c r="T41" i="1" s="1"/>
  <c r="AJ22" i="1"/>
  <c r="U41" i="1" s="1"/>
  <c r="AK22" i="1"/>
  <c r="V41" i="1" s="1"/>
  <c r="AL22" i="1"/>
  <c r="W41" i="1" s="1"/>
  <c r="AM22" i="1"/>
  <c r="X41" i="1" s="1"/>
  <c r="AN22" i="1"/>
  <c r="Y41" i="1" s="1"/>
  <c r="AO22" i="1"/>
  <c r="Z41" i="1" s="1"/>
  <c r="AP22" i="1"/>
  <c r="AA41" i="1" s="1"/>
  <c r="AQ22" i="1"/>
  <c r="AB41" i="1" s="1"/>
  <c r="AR22" i="1"/>
  <c r="AC41" i="1" s="1"/>
  <c r="Q23" i="1"/>
  <c r="R23" i="1"/>
  <c r="C42" i="1" s="1"/>
  <c r="C44" i="1" s="1"/>
  <c r="S23" i="1"/>
  <c r="D42" i="1" s="1"/>
  <c r="D44" i="1" s="1"/>
  <c r="T23" i="1"/>
  <c r="E42" i="1" s="1"/>
  <c r="E44" i="1" s="1"/>
  <c r="U23" i="1"/>
  <c r="F42" i="1" s="1"/>
  <c r="F44" i="1" s="1"/>
  <c r="V23" i="1"/>
  <c r="G42" i="1" s="1"/>
  <c r="G44" i="1" s="1"/>
  <c r="W23" i="1"/>
  <c r="H42" i="1" s="1"/>
  <c r="H44" i="1" s="1"/>
  <c r="X23" i="1"/>
  <c r="I42" i="1" s="1"/>
  <c r="I44" i="1" s="1"/>
  <c r="Y23" i="1"/>
  <c r="J42" i="1" s="1"/>
  <c r="J44" i="1" s="1"/>
  <c r="Z23" i="1"/>
  <c r="K42" i="1" s="1"/>
  <c r="K44" i="1" s="1"/>
  <c r="AA23" i="1"/>
  <c r="L42" i="1" s="1"/>
  <c r="L44" i="1" s="1"/>
  <c r="AB23" i="1"/>
  <c r="M42" i="1" s="1"/>
  <c r="M44" i="1" s="1"/>
  <c r="AC23" i="1"/>
  <c r="N42" i="1" s="1"/>
  <c r="N44" i="1" s="1"/>
  <c r="AD23" i="1"/>
  <c r="O42" i="1" s="1"/>
  <c r="O44" i="1" s="1"/>
  <c r="AE23" i="1"/>
  <c r="P42" i="1" s="1"/>
  <c r="P44" i="1" s="1"/>
  <c r="AF23" i="1"/>
  <c r="Q42" i="1" s="1"/>
  <c r="Q44" i="1" s="1"/>
  <c r="AG23" i="1"/>
  <c r="R42" i="1" s="1"/>
  <c r="R44" i="1" s="1"/>
  <c r="AH23" i="1"/>
  <c r="S42" i="1" s="1"/>
  <c r="S44" i="1" s="1"/>
  <c r="AI23" i="1"/>
  <c r="T42" i="1" s="1"/>
  <c r="T44" i="1" s="1"/>
  <c r="AJ23" i="1"/>
  <c r="U42" i="1" s="1"/>
  <c r="U44" i="1" s="1"/>
  <c r="AK23" i="1"/>
  <c r="V42" i="1" s="1"/>
  <c r="V44" i="1" s="1"/>
  <c r="AL23" i="1"/>
  <c r="W42" i="1" s="1"/>
  <c r="W44" i="1" s="1"/>
  <c r="AM23" i="1"/>
  <c r="X42" i="1" s="1"/>
  <c r="X44" i="1" s="1"/>
  <c r="AN23" i="1"/>
  <c r="Y42" i="1" s="1"/>
  <c r="Y44" i="1" s="1"/>
  <c r="AO23" i="1"/>
  <c r="Z42" i="1" s="1"/>
  <c r="Z44" i="1" s="1"/>
  <c r="AP23" i="1"/>
  <c r="AA42" i="1" s="1"/>
  <c r="AA44" i="1" s="1"/>
  <c r="AQ23" i="1"/>
  <c r="AB42" i="1" s="1"/>
  <c r="AB44" i="1" s="1"/>
  <c r="AR23" i="1"/>
  <c r="AC42" i="1" s="1"/>
  <c r="AC44" i="1" s="1"/>
  <c r="Q24" i="1"/>
  <c r="R24" i="1"/>
  <c r="S24" i="1"/>
  <c r="T24" i="1"/>
  <c r="U24" i="1"/>
  <c r="V24" i="1"/>
  <c r="W24" i="1"/>
  <c r="X24" i="1"/>
  <c r="Y24" i="1"/>
  <c r="Z24" i="1"/>
  <c r="AA24" i="1"/>
  <c r="AB24" i="1"/>
  <c r="AC24" i="1"/>
  <c r="AD24" i="1"/>
  <c r="AE24" i="1"/>
  <c r="AF24" i="1"/>
  <c r="AG24" i="1"/>
  <c r="AH24" i="1"/>
  <c r="AI24" i="1"/>
  <c r="AJ24" i="1"/>
  <c r="AK24" i="1"/>
  <c r="AL24" i="1"/>
  <c r="AM24" i="1"/>
  <c r="AN24" i="1"/>
  <c r="AO24" i="1"/>
  <c r="AP24" i="1"/>
  <c r="AQ24" i="1"/>
  <c r="AR24" i="1"/>
  <c r="Q26" i="1"/>
  <c r="R26" i="1"/>
  <c r="C45" i="1" s="1"/>
  <c r="C75" i="1" s="1"/>
  <c r="S26" i="1"/>
  <c r="D45" i="1" s="1"/>
  <c r="D75" i="1" s="1"/>
  <c r="T26" i="1"/>
  <c r="E45" i="1" s="1"/>
  <c r="U26" i="1"/>
  <c r="F45" i="1" s="1"/>
  <c r="F64" i="1" s="1"/>
  <c r="V26" i="1"/>
  <c r="G45" i="1" s="1"/>
  <c r="W26" i="1"/>
  <c r="H45" i="1" s="1"/>
  <c r="X26" i="1"/>
  <c r="I45" i="1" s="1"/>
  <c r="I64" i="1" s="1"/>
  <c r="Y26" i="1"/>
  <c r="J45" i="1" s="1"/>
  <c r="J75" i="1" s="1"/>
  <c r="Z26" i="1"/>
  <c r="K45" i="1" s="1"/>
  <c r="K75" i="1" s="1"/>
  <c r="AA26" i="1"/>
  <c r="L45" i="1" s="1"/>
  <c r="L75" i="1" s="1"/>
  <c r="AB26" i="1"/>
  <c r="M45" i="1" s="1"/>
  <c r="AC26" i="1"/>
  <c r="N45" i="1" s="1"/>
  <c r="N64" i="1" s="1"/>
  <c r="AD26" i="1"/>
  <c r="O45" i="1" s="1"/>
  <c r="O64" i="1" s="1"/>
  <c r="AE26" i="1"/>
  <c r="P45" i="1" s="1"/>
  <c r="AF26" i="1"/>
  <c r="Q45" i="1" s="1"/>
  <c r="AG26" i="1"/>
  <c r="R45" i="1" s="1"/>
  <c r="AH26" i="1"/>
  <c r="S45" i="1" s="1"/>
  <c r="AI26" i="1"/>
  <c r="T45" i="1" s="1"/>
  <c r="AJ26" i="1"/>
  <c r="U45" i="1" s="1"/>
  <c r="AK26" i="1"/>
  <c r="V45" i="1" s="1"/>
  <c r="V64" i="1" s="1"/>
  <c r="AL26" i="1"/>
  <c r="W45" i="1" s="1"/>
  <c r="W75" i="1" s="1"/>
  <c r="AM26" i="1"/>
  <c r="X45" i="1" s="1"/>
  <c r="AN26" i="1"/>
  <c r="Y45" i="1" s="1"/>
  <c r="Y64" i="1" s="1"/>
  <c r="AO26" i="1"/>
  <c r="Z45" i="1" s="1"/>
  <c r="AP26" i="1"/>
  <c r="AA45" i="1" s="1"/>
  <c r="AQ26" i="1"/>
  <c r="AB45" i="1" s="1"/>
  <c r="AR26" i="1"/>
  <c r="AC45" i="1" s="1"/>
  <c r="Q11" i="1"/>
  <c r="R11" i="1"/>
  <c r="C30" i="1" s="1"/>
  <c r="S11" i="1"/>
  <c r="D30" i="1" s="1"/>
  <c r="T11" i="1"/>
  <c r="E30" i="1" s="1"/>
  <c r="U11" i="1"/>
  <c r="F30" i="1" s="1"/>
  <c r="V11" i="1"/>
  <c r="G30" i="1" s="1"/>
  <c r="W11" i="1"/>
  <c r="H30" i="1" s="1"/>
  <c r="X11" i="1"/>
  <c r="I30" i="1" s="1"/>
  <c r="Y11" i="1"/>
  <c r="J30" i="1" s="1"/>
  <c r="Z11" i="1"/>
  <c r="K30" i="1" s="1"/>
  <c r="AA11" i="1"/>
  <c r="L30" i="1" s="1"/>
  <c r="AB11" i="1"/>
  <c r="M30" i="1" s="1"/>
  <c r="AC11" i="1"/>
  <c r="N30" i="1" s="1"/>
  <c r="AD11" i="1"/>
  <c r="O30" i="1" s="1"/>
  <c r="AE11" i="1"/>
  <c r="P30" i="1" s="1"/>
  <c r="AF11" i="1"/>
  <c r="Q30" i="1" s="1"/>
  <c r="AG11" i="1"/>
  <c r="R30" i="1" s="1"/>
  <c r="AH11" i="1"/>
  <c r="S30" i="1" s="1"/>
  <c r="AI11" i="1"/>
  <c r="T30" i="1" s="1"/>
  <c r="AJ11" i="1"/>
  <c r="U30" i="1" s="1"/>
  <c r="AK11" i="1"/>
  <c r="V30" i="1" s="1"/>
  <c r="AL11" i="1"/>
  <c r="W30" i="1" s="1"/>
  <c r="AM11" i="1"/>
  <c r="X30" i="1" s="1"/>
  <c r="AN11" i="1"/>
  <c r="Y30" i="1" s="1"/>
  <c r="AO11" i="1"/>
  <c r="Z30" i="1" s="1"/>
  <c r="AP11" i="1"/>
  <c r="AA30" i="1" s="1"/>
  <c r="AQ11" i="1"/>
  <c r="AB30" i="1" s="1"/>
  <c r="AR11" i="1"/>
  <c r="AC30" i="1" s="1"/>
  <c r="K43" i="1" l="1"/>
  <c r="C43" i="1"/>
  <c r="BU17" i="33"/>
  <c r="N64" i="34" s="1"/>
  <c r="DS17" i="33"/>
  <c r="W59" i="34" s="1"/>
  <c r="V43" i="1"/>
  <c r="AC43" i="1"/>
  <c r="M43" i="1"/>
  <c r="AB43" i="1"/>
  <c r="L43" i="1"/>
  <c r="E41" i="28"/>
  <c r="R14" i="33"/>
  <c r="AF41" i="28"/>
  <c r="DX14" i="33"/>
  <c r="E40" i="28"/>
  <c r="M14" i="33"/>
  <c r="E37" i="28"/>
  <c r="C14" i="33"/>
  <c r="AF37" i="28"/>
  <c r="DI14" i="33"/>
  <c r="P37" i="28"/>
  <c r="BF14" i="33"/>
  <c r="P40" i="28"/>
  <c r="BP14" i="33"/>
  <c r="S75" i="1"/>
  <c r="E43" i="1"/>
  <c r="U75" i="1"/>
  <c r="AA43" i="1"/>
  <c r="R75" i="1"/>
  <c r="F43" i="1"/>
  <c r="D43" i="1"/>
  <c r="T75" i="1"/>
  <c r="U43" i="1"/>
  <c r="T43" i="1"/>
  <c r="S43" i="1"/>
  <c r="AA75" i="1"/>
  <c r="G75" i="1"/>
  <c r="Z75" i="1"/>
  <c r="N43" i="1"/>
  <c r="T2" i="28"/>
  <c r="AB76" i="1"/>
  <c r="T76" i="1"/>
  <c r="L76" i="1"/>
  <c r="D76" i="1"/>
  <c r="AC4" i="28"/>
  <c r="V3" i="28"/>
  <c r="G40" i="28"/>
  <c r="L37" i="28"/>
  <c r="F40" i="28"/>
  <c r="F37" i="28"/>
  <c r="Z37" i="28"/>
  <c r="AA37" i="28"/>
  <c r="F41" i="28"/>
  <c r="AD37" i="28"/>
  <c r="R40" i="28"/>
  <c r="S4" i="28"/>
  <c r="H41" i="28"/>
  <c r="O41" i="28"/>
  <c r="AC37" i="28"/>
  <c r="Y37" i="28"/>
  <c r="O40" i="28"/>
  <c r="T40" i="28"/>
  <c r="P41" i="28"/>
  <c r="R37" i="28"/>
  <c r="S37" i="28"/>
  <c r="L41" i="28"/>
  <c r="M37" i="28"/>
  <c r="AF40" i="28"/>
  <c r="V41" i="28"/>
  <c r="H40" i="28"/>
  <c r="Q37" i="28"/>
  <c r="AA40" i="28"/>
  <c r="N37" i="28"/>
  <c r="L40" i="28"/>
  <c r="V40" i="28"/>
  <c r="M41" i="28"/>
  <c r="X3" i="28"/>
  <c r="W37" i="28"/>
  <c r="BY14" i="33"/>
  <c r="BY15" i="33"/>
  <c r="I3" i="28"/>
  <c r="Q3" i="28"/>
  <c r="Q2" i="28"/>
  <c r="L3" i="28"/>
  <c r="CS14" i="33"/>
  <c r="CS15" i="33"/>
  <c r="N17" i="28"/>
  <c r="Y4" i="28"/>
  <c r="AP14" i="33"/>
  <c r="AP15" i="33"/>
  <c r="EV14" i="33"/>
  <c r="EV15" i="33"/>
  <c r="N2" i="28"/>
  <c r="AD3" i="28"/>
  <c r="CC15" i="33"/>
  <c r="AD15" i="33"/>
  <c r="AH15" i="33"/>
  <c r="AL15" i="33"/>
  <c r="K17" i="28"/>
  <c r="U17" i="28"/>
  <c r="J17" i="28"/>
  <c r="AA17" i="28"/>
  <c r="AC17" i="28"/>
  <c r="AB17" i="28"/>
  <c r="T4" i="28"/>
  <c r="T3" i="28"/>
  <c r="M4" i="28"/>
  <c r="Q39" i="28"/>
  <c r="AD39" i="28"/>
  <c r="V39" i="28"/>
  <c r="N39" i="28"/>
  <c r="AB39" i="28"/>
  <c r="F17" i="28"/>
  <c r="AE17" i="28"/>
  <c r="R17" i="28"/>
  <c r="W17" i="28"/>
  <c r="U4" i="28"/>
  <c r="O4" i="28"/>
  <c r="AE3" i="28"/>
  <c r="AB4" i="28"/>
  <c r="V4" i="28"/>
  <c r="H39" i="28"/>
  <c r="O39" i="28"/>
  <c r="L17" i="28"/>
  <c r="H17" i="28"/>
  <c r="X39" i="28"/>
  <c r="N3" i="28"/>
  <c r="AE4" i="28"/>
  <c r="S3" i="28"/>
  <c r="U3" i="28"/>
  <c r="K3" i="28"/>
  <c r="AC6" i="28"/>
  <c r="AC3" i="28"/>
  <c r="M2" i="28"/>
  <c r="I17" i="28"/>
  <c r="G39" i="28"/>
  <c r="R41" i="28"/>
  <c r="M6" i="28"/>
  <c r="J39" i="28"/>
  <c r="K6" i="28"/>
  <c r="R39" i="28"/>
  <c r="M39" i="28"/>
  <c r="AC39" i="28"/>
  <c r="K4" i="28"/>
  <c r="AB5" i="28"/>
  <c r="L6" i="28"/>
  <c r="L4" i="28"/>
  <c r="AE39" i="28"/>
  <c r="N5" i="28"/>
  <c r="X2" i="28"/>
  <c r="U6" i="28"/>
  <c r="W39" i="28"/>
  <c r="G5" i="28"/>
  <c r="V2" i="28"/>
  <c r="G6" i="28"/>
  <c r="L5" i="28"/>
  <c r="AA6" i="28"/>
  <c r="J2" i="28"/>
  <c r="F39" i="28"/>
  <c r="K2" i="28"/>
  <c r="CV14" i="33"/>
  <c r="DB14" i="33"/>
  <c r="FH14" i="33"/>
  <c r="AY14" i="33"/>
  <c r="BB14" i="33"/>
  <c r="DE14" i="33"/>
  <c r="EY14" i="33"/>
  <c r="FE14" i="33"/>
  <c r="AA76" i="1"/>
  <c r="S76" i="1"/>
  <c r="K76" i="1"/>
  <c r="C76" i="1"/>
  <c r="F75" i="1"/>
  <c r="I43" i="1"/>
  <c r="Y43" i="1"/>
  <c r="Q43" i="1"/>
  <c r="V76" i="1"/>
  <c r="N76" i="1"/>
  <c r="F76" i="1"/>
  <c r="I75" i="1"/>
  <c r="AB72" i="1"/>
  <c r="AB70" i="1"/>
  <c r="AB73" i="1"/>
  <c r="AB71" i="1"/>
  <c r="R77" i="1"/>
  <c r="Y77" i="1"/>
  <c r="Q77" i="1"/>
  <c r="I77" i="1"/>
  <c r="AC76" i="1"/>
  <c r="U76" i="1"/>
  <c r="M76" i="1"/>
  <c r="E76" i="1"/>
  <c r="Y74" i="1"/>
  <c r="Q74" i="1"/>
  <c r="I74" i="1"/>
  <c r="AC72" i="1"/>
  <c r="AC70" i="1"/>
  <c r="AC71" i="1"/>
  <c r="AC73" i="1"/>
  <c r="U71" i="1"/>
  <c r="U72" i="1"/>
  <c r="U70" i="1"/>
  <c r="U73" i="1"/>
  <c r="M72" i="1"/>
  <c r="M70" i="1"/>
  <c r="M71" i="1"/>
  <c r="M73" i="1"/>
  <c r="E72" i="1"/>
  <c r="E71" i="1"/>
  <c r="E70" i="1"/>
  <c r="E73" i="1"/>
  <c r="H75" i="1"/>
  <c r="Y75" i="1"/>
  <c r="M75" i="1"/>
  <c r="P77" i="1"/>
  <c r="L72" i="1"/>
  <c r="L70" i="1"/>
  <c r="L73" i="1"/>
  <c r="L71" i="1"/>
  <c r="O77" i="1"/>
  <c r="W74" i="1"/>
  <c r="G74" i="1"/>
  <c r="S70" i="1"/>
  <c r="S73" i="1"/>
  <c r="S72" i="1"/>
  <c r="S71" i="1"/>
  <c r="C70" i="1"/>
  <c r="C73" i="1"/>
  <c r="C72" i="1"/>
  <c r="C71" i="1"/>
  <c r="Z43" i="1"/>
  <c r="R43" i="1"/>
  <c r="J43" i="1"/>
  <c r="V77" i="1"/>
  <c r="N77" i="1"/>
  <c r="F77" i="1"/>
  <c r="Z76" i="1"/>
  <c r="R76" i="1"/>
  <c r="J76" i="1"/>
  <c r="V74" i="1"/>
  <c r="N74" i="1"/>
  <c r="F74" i="1"/>
  <c r="Z70" i="1"/>
  <c r="Z72" i="1"/>
  <c r="Z73" i="1"/>
  <c r="Z71" i="1"/>
  <c r="R70" i="1"/>
  <c r="R73" i="1"/>
  <c r="R71" i="1"/>
  <c r="R72" i="1"/>
  <c r="J70" i="1"/>
  <c r="J72" i="1"/>
  <c r="J73" i="1"/>
  <c r="J71" i="1"/>
  <c r="T72" i="1"/>
  <c r="T70" i="1"/>
  <c r="T73" i="1"/>
  <c r="T71" i="1"/>
  <c r="W77" i="1"/>
  <c r="G77" i="1"/>
  <c r="O74" i="1"/>
  <c r="AA72" i="1"/>
  <c r="AA70" i="1"/>
  <c r="AA73" i="1"/>
  <c r="AA71" i="1"/>
  <c r="K72" i="1"/>
  <c r="K70" i="1"/>
  <c r="K73" i="1"/>
  <c r="K71" i="1"/>
  <c r="P75" i="1"/>
  <c r="AC77" i="1"/>
  <c r="U77" i="1"/>
  <c r="M77" i="1"/>
  <c r="E77" i="1"/>
  <c r="Y76" i="1"/>
  <c r="Q76" i="1"/>
  <c r="I76" i="1"/>
  <c r="AC74" i="1"/>
  <c r="U74" i="1"/>
  <c r="M74" i="1"/>
  <c r="E74" i="1"/>
  <c r="Y73" i="1"/>
  <c r="Y70" i="1"/>
  <c r="Y71" i="1"/>
  <c r="Y72" i="1"/>
  <c r="Q73" i="1"/>
  <c r="Q71" i="1"/>
  <c r="Q70" i="1"/>
  <c r="Q72" i="1"/>
  <c r="I73" i="1"/>
  <c r="I71" i="1"/>
  <c r="I70" i="1"/>
  <c r="I72" i="1"/>
  <c r="N75" i="1"/>
  <c r="X75" i="1"/>
  <c r="AB75" i="1"/>
  <c r="AC75" i="1"/>
  <c r="P74" i="1"/>
  <c r="X43" i="1"/>
  <c r="H43" i="1"/>
  <c r="T77" i="1"/>
  <c r="D77" i="1"/>
  <c r="P76" i="1"/>
  <c r="AB74" i="1"/>
  <c r="L74" i="1"/>
  <c r="D74" i="1"/>
  <c r="X73" i="1"/>
  <c r="X71" i="1"/>
  <c r="X72" i="1"/>
  <c r="X70" i="1"/>
  <c r="P71" i="1"/>
  <c r="P70" i="1"/>
  <c r="P72" i="1"/>
  <c r="P73" i="1"/>
  <c r="H71" i="1"/>
  <c r="H73" i="1"/>
  <c r="H72" i="1"/>
  <c r="H70" i="1"/>
  <c r="X77" i="1"/>
  <c r="H74" i="1"/>
  <c r="P43" i="1"/>
  <c r="AB77" i="1"/>
  <c r="L77" i="1"/>
  <c r="X76" i="1"/>
  <c r="H76" i="1"/>
  <c r="T74" i="1"/>
  <c r="W43" i="1"/>
  <c r="O43" i="1"/>
  <c r="G43" i="1"/>
  <c r="AA77" i="1"/>
  <c r="S77" i="1"/>
  <c r="K77" i="1"/>
  <c r="C77" i="1"/>
  <c r="W76" i="1"/>
  <c r="O76" i="1"/>
  <c r="G76" i="1"/>
  <c r="AA74" i="1"/>
  <c r="S74" i="1"/>
  <c r="K74" i="1"/>
  <c r="C74" i="1"/>
  <c r="W71" i="1"/>
  <c r="W73" i="1"/>
  <c r="W72" i="1"/>
  <c r="W70" i="1"/>
  <c r="O71" i="1"/>
  <c r="O73" i="1"/>
  <c r="O72" i="1"/>
  <c r="O70" i="1"/>
  <c r="G71" i="1"/>
  <c r="G72" i="1"/>
  <c r="G73" i="1"/>
  <c r="G70" i="1"/>
  <c r="V75" i="1"/>
  <c r="Q75" i="1"/>
  <c r="E75" i="1"/>
  <c r="O75" i="1"/>
  <c r="H77" i="1"/>
  <c r="X74" i="1"/>
  <c r="D72" i="1"/>
  <c r="D70" i="1"/>
  <c r="D73" i="1"/>
  <c r="D71" i="1"/>
  <c r="Z77" i="1"/>
  <c r="J77" i="1"/>
  <c r="Z74" i="1"/>
  <c r="R74" i="1"/>
  <c r="J74" i="1"/>
  <c r="V71" i="1"/>
  <c r="V72" i="1"/>
  <c r="V70" i="1"/>
  <c r="V73" i="1"/>
  <c r="N72" i="1"/>
  <c r="N71" i="1"/>
  <c r="N70" i="1"/>
  <c r="N73" i="1"/>
  <c r="F72" i="1"/>
  <c r="F70" i="1"/>
  <c r="F73" i="1"/>
  <c r="F71" i="1"/>
  <c r="Y65" i="1"/>
  <c r="Q65" i="1"/>
  <c r="I65" i="1"/>
  <c r="W65" i="1"/>
  <c r="O65" i="1"/>
  <c r="G65" i="1"/>
  <c r="AB64" i="1"/>
  <c r="S64" i="1"/>
  <c r="S66" i="1"/>
  <c r="AA63" i="1"/>
  <c r="W61" i="1"/>
  <c r="W60" i="1"/>
  <c r="W59" i="1"/>
  <c r="W62" i="1"/>
  <c r="Z64" i="1"/>
  <c r="R64" i="1"/>
  <c r="J64" i="1"/>
  <c r="Z66" i="1"/>
  <c r="R66" i="1"/>
  <c r="J66" i="1"/>
  <c r="V65" i="1"/>
  <c r="N65" i="1"/>
  <c r="F65" i="1"/>
  <c r="Z63" i="1"/>
  <c r="R63" i="1"/>
  <c r="J63" i="1"/>
  <c r="V61" i="1"/>
  <c r="V59" i="1"/>
  <c r="V62" i="1"/>
  <c r="V60" i="1"/>
  <c r="N61" i="1"/>
  <c r="N59" i="1"/>
  <c r="N62" i="1"/>
  <c r="N60" i="1"/>
  <c r="F61" i="1"/>
  <c r="F60" i="1"/>
  <c r="F59" i="1"/>
  <c r="F62" i="1"/>
  <c r="H64" i="1"/>
  <c r="K64" i="1"/>
  <c r="C66" i="1"/>
  <c r="S63" i="1"/>
  <c r="O61" i="1"/>
  <c r="O59" i="1"/>
  <c r="O60" i="1"/>
  <c r="O62" i="1"/>
  <c r="Y66" i="1"/>
  <c r="Q66" i="1"/>
  <c r="I66" i="1"/>
  <c r="AC65" i="1"/>
  <c r="U65" i="1"/>
  <c r="M65" i="1"/>
  <c r="E65" i="1"/>
  <c r="Y63" i="1"/>
  <c r="Q63" i="1"/>
  <c r="I63" i="1"/>
  <c r="AC61" i="1"/>
  <c r="AC59" i="1"/>
  <c r="AC62" i="1"/>
  <c r="AC60" i="1"/>
  <c r="U61" i="1"/>
  <c r="U59" i="1"/>
  <c r="U62" i="1"/>
  <c r="U60" i="1"/>
  <c r="M61" i="1"/>
  <c r="M59" i="1"/>
  <c r="M62" i="1"/>
  <c r="M60" i="1"/>
  <c r="E61" i="1"/>
  <c r="E59" i="1"/>
  <c r="E62" i="1"/>
  <c r="E60" i="1"/>
  <c r="E64" i="1"/>
  <c r="P64" i="1"/>
  <c r="AA64" i="1"/>
  <c r="K66" i="1"/>
  <c r="C63" i="1"/>
  <c r="X66" i="1"/>
  <c r="P66" i="1"/>
  <c r="H66" i="1"/>
  <c r="AB65" i="1"/>
  <c r="T65" i="1"/>
  <c r="L65" i="1"/>
  <c r="D65" i="1"/>
  <c r="X63" i="1"/>
  <c r="P63" i="1"/>
  <c r="H63" i="1"/>
  <c r="AB59" i="1"/>
  <c r="AB61" i="1"/>
  <c r="AB62" i="1"/>
  <c r="AB60" i="1"/>
  <c r="T59" i="1"/>
  <c r="T62" i="1"/>
  <c r="T60" i="1"/>
  <c r="T61" i="1"/>
  <c r="L59" i="1"/>
  <c r="L62" i="1"/>
  <c r="L61" i="1"/>
  <c r="L60" i="1"/>
  <c r="D61" i="1"/>
  <c r="D59" i="1"/>
  <c r="D62" i="1"/>
  <c r="D60" i="1"/>
  <c r="M64" i="1"/>
  <c r="X64" i="1"/>
  <c r="C64" i="1"/>
  <c r="AA66" i="1"/>
  <c r="K63" i="1"/>
  <c r="G61" i="1"/>
  <c r="G60" i="1"/>
  <c r="G59" i="1"/>
  <c r="G62" i="1"/>
  <c r="W66" i="1"/>
  <c r="O66" i="1"/>
  <c r="G66" i="1"/>
  <c r="AA65" i="1"/>
  <c r="S65" i="1"/>
  <c r="K65" i="1"/>
  <c r="C65" i="1"/>
  <c r="W63" i="1"/>
  <c r="O63" i="1"/>
  <c r="G63" i="1"/>
  <c r="AA59" i="1"/>
  <c r="AA62" i="1"/>
  <c r="AA60" i="1"/>
  <c r="AA61" i="1"/>
  <c r="S59" i="1"/>
  <c r="S62" i="1"/>
  <c r="S61" i="1"/>
  <c r="S60" i="1"/>
  <c r="K59" i="1"/>
  <c r="K62" i="1"/>
  <c r="K60" i="1"/>
  <c r="K61" i="1"/>
  <c r="C59" i="1"/>
  <c r="C62" i="1"/>
  <c r="C60" i="1"/>
  <c r="C61" i="1"/>
  <c r="U64" i="1"/>
  <c r="G64" i="1"/>
  <c r="V66" i="1"/>
  <c r="N66" i="1"/>
  <c r="F66" i="1"/>
  <c r="Z65" i="1"/>
  <c r="R65" i="1"/>
  <c r="J65" i="1"/>
  <c r="V63" i="1"/>
  <c r="N63" i="1"/>
  <c r="F63" i="1"/>
  <c r="Z62" i="1"/>
  <c r="Z60" i="1"/>
  <c r="Z59" i="1"/>
  <c r="Z61" i="1"/>
  <c r="R62" i="1"/>
  <c r="R60" i="1"/>
  <c r="R59" i="1"/>
  <c r="R61" i="1"/>
  <c r="J62" i="1"/>
  <c r="J59" i="1"/>
  <c r="J60" i="1"/>
  <c r="J61" i="1"/>
  <c r="D64" i="1"/>
  <c r="AC64" i="1"/>
  <c r="U66" i="1"/>
  <c r="E66" i="1"/>
  <c r="AC63" i="1"/>
  <c r="U63" i="1"/>
  <c r="E63" i="1"/>
  <c r="Y60" i="1"/>
  <c r="Y61" i="1"/>
  <c r="Y62" i="1"/>
  <c r="Y59" i="1"/>
  <c r="Q60" i="1"/>
  <c r="Q61" i="1"/>
  <c r="Q59" i="1"/>
  <c r="Q62" i="1"/>
  <c r="I60" i="1"/>
  <c r="I59" i="1"/>
  <c r="I62" i="1"/>
  <c r="I61" i="1"/>
  <c r="L64" i="1"/>
  <c r="W64" i="1"/>
  <c r="Q64" i="1"/>
  <c r="AC66" i="1"/>
  <c r="M66" i="1"/>
  <c r="M63" i="1"/>
  <c r="AB66" i="1"/>
  <c r="T66" i="1"/>
  <c r="L66" i="1"/>
  <c r="D66" i="1"/>
  <c r="X65" i="1"/>
  <c r="P65" i="1"/>
  <c r="H65" i="1"/>
  <c r="AB63" i="1"/>
  <c r="T63" i="1"/>
  <c r="L63" i="1"/>
  <c r="D63" i="1"/>
  <c r="X60" i="1"/>
  <c r="X61" i="1"/>
  <c r="X62" i="1"/>
  <c r="X59" i="1"/>
  <c r="P60" i="1"/>
  <c r="P62" i="1"/>
  <c r="P61" i="1"/>
  <c r="P59" i="1"/>
  <c r="H60" i="1"/>
  <c r="H61" i="1"/>
  <c r="H62" i="1"/>
  <c r="H59" i="1"/>
  <c r="T64" i="1"/>
  <c r="Q54" i="1"/>
  <c r="X54" i="1"/>
  <c r="P54" i="1"/>
  <c r="H54" i="1"/>
  <c r="W54" i="1"/>
  <c r="O54" i="1"/>
  <c r="G54" i="1"/>
  <c r="Y54" i="1"/>
  <c r="V54" i="1"/>
  <c r="N54" i="1"/>
  <c r="F54" i="1"/>
  <c r="AC54" i="1"/>
  <c r="U54" i="1"/>
  <c r="M54" i="1"/>
  <c r="E54" i="1"/>
  <c r="AB54" i="1"/>
  <c r="T54" i="1"/>
  <c r="L54" i="1"/>
  <c r="D54" i="1"/>
  <c r="AA54" i="1"/>
  <c r="S54" i="1"/>
  <c r="K54" i="1"/>
  <c r="C54" i="1"/>
  <c r="I54" i="1"/>
  <c r="Z54" i="1"/>
  <c r="R54" i="1"/>
  <c r="J54" i="1"/>
  <c r="V52" i="1"/>
  <c r="AB52" i="1"/>
  <c r="T52" i="1"/>
  <c r="L52" i="1"/>
  <c r="D52" i="1"/>
  <c r="AA52" i="1"/>
  <c r="K52" i="1"/>
  <c r="C52" i="1"/>
  <c r="Z52" i="1"/>
  <c r="R52" i="1"/>
  <c r="J52" i="1"/>
  <c r="Y52" i="1"/>
  <c r="Q52" i="1"/>
  <c r="I52" i="1"/>
  <c r="S52" i="1"/>
  <c r="X52" i="1"/>
  <c r="P52" i="1"/>
  <c r="H52" i="1"/>
  <c r="W52" i="1"/>
  <c r="O52" i="1"/>
  <c r="G52" i="1"/>
  <c r="N52" i="1"/>
  <c r="F52" i="1"/>
  <c r="AC52" i="1"/>
  <c r="U52" i="1"/>
  <c r="M52" i="1"/>
  <c r="E52" i="1"/>
  <c r="AB51" i="1"/>
  <c r="AB50" i="1"/>
  <c r="T51" i="1"/>
  <c r="T50" i="1"/>
  <c r="L51" i="1"/>
  <c r="L50" i="1"/>
  <c r="D51" i="1"/>
  <c r="D50" i="1"/>
  <c r="E51" i="1"/>
  <c r="E50" i="1"/>
  <c r="AA51" i="1"/>
  <c r="AA50" i="1"/>
  <c r="S51" i="1"/>
  <c r="S50" i="1"/>
  <c r="K51" i="1"/>
  <c r="K50" i="1"/>
  <c r="C51" i="1"/>
  <c r="C50" i="1"/>
  <c r="AC51" i="1"/>
  <c r="AC50" i="1"/>
  <c r="Z50" i="1"/>
  <c r="Z51" i="1"/>
  <c r="R50" i="1"/>
  <c r="R51" i="1"/>
  <c r="J50" i="1"/>
  <c r="J51" i="1"/>
  <c r="U51" i="1"/>
  <c r="U50" i="1"/>
  <c r="Y50" i="1"/>
  <c r="Y51" i="1"/>
  <c r="Q50" i="1"/>
  <c r="Q51" i="1"/>
  <c r="I50" i="1"/>
  <c r="I51" i="1"/>
  <c r="M51" i="1"/>
  <c r="M50" i="1"/>
  <c r="X50" i="1"/>
  <c r="X51" i="1"/>
  <c r="P50" i="1"/>
  <c r="P51" i="1"/>
  <c r="H50" i="1"/>
  <c r="H51" i="1"/>
  <c r="W50" i="1"/>
  <c r="W51" i="1"/>
  <c r="O50" i="1"/>
  <c r="O51" i="1"/>
  <c r="G50" i="1"/>
  <c r="G51" i="1"/>
  <c r="V50" i="1"/>
  <c r="V51" i="1"/>
  <c r="N50" i="1"/>
  <c r="N51" i="1"/>
  <c r="F50" i="1"/>
  <c r="F51" i="1"/>
  <c r="V55" i="1"/>
  <c r="N55" i="1"/>
  <c r="F55" i="1"/>
  <c r="W55" i="1"/>
  <c r="AC55" i="1"/>
  <c r="U55" i="1"/>
  <c r="M55" i="1"/>
  <c r="E55" i="1"/>
  <c r="O55" i="1"/>
  <c r="AB55" i="1"/>
  <c r="T55" i="1"/>
  <c r="L55" i="1"/>
  <c r="D55" i="1"/>
  <c r="G55" i="1"/>
  <c r="AA55" i="1"/>
  <c r="S55" i="1"/>
  <c r="K55" i="1"/>
  <c r="C55" i="1"/>
  <c r="Z55" i="1"/>
  <c r="R55" i="1"/>
  <c r="J55" i="1"/>
  <c r="Y55" i="1"/>
  <c r="Q55" i="1"/>
  <c r="I55" i="1"/>
  <c r="X55" i="1"/>
  <c r="P55" i="1"/>
  <c r="H55" i="1"/>
  <c r="X49" i="1"/>
  <c r="X48" i="1"/>
  <c r="P49" i="1"/>
  <c r="P48" i="1"/>
  <c r="H49" i="1"/>
  <c r="H48" i="1"/>
  <c r="O48" i="1"/>
  <c r="O49" i="1"/>
  <c r="V48" i="1"/>
  <c r="V49" i="1"/>
  <c r="N48" i="1"/>
  <c r="N49" i="1"/>
  <c r="F48" i="1"/>
  <c r="F49" i="1"/>
  <c r="W48" i="1"/>
  <c r="W49" i="1"/>
  <c r="AC48" i="1"/>
  <c r="AC49" i="1"/>
  <c r="U48" i="1"/>
  <c r="U49" i="1"/>
  <c r="E48" i="1"/>
  <c r="E49" i="1"/>
  <c r="G48" i="1"/>
  <c r="G49" i="1"/>
  <c r="M48" i="1"/>
  <c r="M49" i="1"/>
  <c r="AB48" i="1"/>
  <c r="AB49" i="1"/>
  <c r="T48" i="1"/>
  <c r="T49" i="1"/>
  <c r="L48" i="1"/>
  <c r="L49" i="1"/>
  <c r="D48" i="1"/>
  <c r="D49" i="1"/>
  <c r="AA48" i="1"/>
  <c r="AA49" i="1"/>
  <c r="S48" i="1"/>
  <c r="S49" i="1"/>
  <c r="K48" i="1"/>
  <c r="K49" i="1"/>
  <c r="C48" i="1"/>
  <c r="C49" i="1"/>
  <c r="Z49" i="1"/>
  <c r="Z48" i="1"/>
  <c r="R49" i="1"/>
  <c r="R48" i="1"/>
  <c r="J49" i="1"/>
  <c r="J48" i="1"/>
  <c r="Y49" i="1"/>
  <c r="Y48" i="1"/>
  <c r="Q49" i="1"/>
  <c r="Q48" i="1"/>
  <c r="I49" i="1"/>
  <c r="I48" i="1"/>
  <c r="B45" i="1"/>
  <c r="B42" i="1"/>
  <c r="B44" i="1" s="1"/>
  <c r="B41" i="1"/>
  <c r="B40" i="1"/>
  <c r="B39" i="1"/>
  <c r="B38" i="1"/>
  <c r="B37" i="1"/>
  <c r="B35" i="1"/>
  <c r="B34" i="1"/>
  <c r="B32" i="1"/>
  <c r="B30" i="1"/>
  <c r="CS17" i="33" l="1"/>
  <c r="M7" i="34" s="1"/>
  <c r="BF17" i="33"/>
  <c r="N49" i="34" s="1"/>
  <c r="DX17" i="33"/>
  <c r="W64" i="34" s="1"/>
  <c r="DB17" i="33"/>
  <c r="M16" i="34" s="1"/>
  <c r="FE17" i="33"/>
  <c r="W16" i="34" s="1"/>
  <c r="EV17" i="33"/>
  <c r="W7" i="34" s="1"/>
  <c r="AY17" i="33"/>
  <c r="D16" i="34" s="1"/>
  <c r="DI17" i="33"/>
  <c r="W49" i="34" s="1"/>
  <c r="R17" i="33"/>
  <c r="D64" i="34" s="1"/>
  <c r="CV17" i="33"/>
  <c r="M10" i="34" s="1"/>
  <c r="AP17" i="33"/>
  <c r="D7" i="34" s="1"/>
  <c r="BY17" i="33"/>
  <c r="M25" i="34" s="1"/>
  <c r="EY17" i="33"/>
  <c r="W10" i="34" s="1"/>
  <c r="FH17" i="33"/>
  <c r="W19" i="34" s="1"/>
  <c r="C17" i="33"/>
  <c r="D49" i="34" s="1"/>
  <c r="BB17" i="33"/>
  <c r="D19" i="34" s="1"/>
  <c r="DE17" i="33"/>
  <c r="M19" i="34" s="1"/>
  <c r="BP17" i="33"/>
  <c r="N59" i="34" s="1"/>
  <c r="M17" i="33"/>
  <c r="D59" i="34" s="1"/>
  <c r="X67" i="1"/>
  <c r="AF39" i="28"/>
  <c r="DN14" i="33"/>
  <c r="E4" i="28"/>
  <c r="AV14" i="33"/>
  <c r="E17" i="28"/>
  <c r="V14" i="33"/>
  <c r="P39" i="28"/>
  <c r="BK14" i="33"/>
  <c r="AF4" i="28"/>
  <c r="FB14" i="33"/>
  <c r="E3" i="28"/>
  <c r="AS14" i="33"/>
  <c r="E39" i="28"/>
  <c r="H14" i="33"/>
  <c r="P4" i="28"/>
  <c r="CY14" i="33"/>
  <c r="AF17" i="28"/>
  <c r="EB14" i="33"/>
  <c r="Q56" i="1"/>
  <c r="Y56" i="1"/>
  <c r="R56" i="1"/>
  <c r="Z56" i="1"/>
  <c r="P56" i="1"/>
  <c r="H67" i="1"/>
  <c r="Y67" i="1"/>
  <c r="H56" i="1"/>
  <c r="X56" i="1"/>
  <c r="I56" i="1"/>
  <c r="J56" i="1"/>
  <c r="P67" i="1"/>
  <c r="B59" i="1"/>
  <c r="B71" i="1"/>
  <c r="C56" i="1"/>
  <c r="K56" i="1"/>
  <c r="S56" i="1"/>
  <c r="AA56" i="1"/>
  <c r="D56" i="1"/>
  <c r="L56" i="1"/>
  <c r="T56" i="1"/>
  <c r="AB56" i="1"/>
  <c r="M56" i="1"/>
  <c r="G56" i="1"/>
  <c r="E56" i="1"/>
  <c r="U56" i="1"/>
  <c r="AC56" i="1"/>
  <c r="W56" i="1"/>
  <c r="F56" i="1"/>
  <c r="N56" i="1"/>
  <c r="V56" i="1"/>
  <c r="O56" i="1"/>
  <c r="I67" i="1"/>
  <c r="Q67" i="1"/>
  <c r="J67" i="1"/>
  <c r="R67" i="1"/>
  <c r="Z67" i="1"/>
  <c r="C67" i="1"/>
  <c r="K67" i="1"/>
  <c r="S67" i="1"/>
  <c r="AA67" i="1"/>
  <c r="G67" i="1"/>
  <c r="D67" i="1"/>
  <c r="L67" i="1"/>
  <c r="T67" i="1"/>
  <c r="AB67" i="1"/>
  <c r="E67" i="1"/>
  <c r="M67" i="1"/>
  <c r="U67" i="1"/>
  <c r="AC67" i="1"/>
  <c r="O67" i="1"/>
  <c r="F67" i="1"/>
  <c r="N67" i="1"/>
  <c r="V67" i="1"/>
  <c r="W67" i="1"/>
  <c r="AD17" i="28"/>
  <c r="Q17" i="28"/>
  <c r="G17" i="28"/>
  <c r="Y39" i="28"/>
  <c r="T39" i="28"/>
  <c r="I39" i="28"/>
  <c r="P17" i="28"/>
  <c r="Z4" i="28"/>
  <c r="F3" i="28"/>
  <c r="W5" i="28"/>
  <c r="AB3" i="28"/>
  <c r="E2" i="28"/>
  <c r="G4" i="28"/>
  <c r="AD4" i="28"/>
  <c r="P2" i="28"/>
  <c r="Z17" i="28"/>
  <c r="K39" i="28"/>
  <c r="O17" i="28"/>
  <c r="M17" i="28"/>
  <c r="AE2" i="28"/>
  <c r="X4" i="28"/>
  <c r="O3" i="28"/>
  <c r="V17" i="28"/>
  <c r="T17" i="28"/>
  <c r="X17" i="28"/>
  <c r="Y17" i="28"/>
  <c r="L39" i="28"/>
  <c r="U39" i="28"/>
  <c r="Z39" i="28"/>
  <c r="H4" i="28"/>
  <c r="EJ14" i="33"/>
  <c r="EJ15" i="33"/>
  <c r="EN14" i="33"/>
  <c r="EN15" i="33"/>
  <c r="Z14" i="33"/>
  <c r="Z15" i="33"/>
  <c r="CG14" i="33"/>
  <c r="CG15" i="33"/>
  <c r="EF14" i="33"/>
  <c r="EF15" i="33"/>
  <c r="CK14" i="33"/>
  <c r="CK15" i="33"/>
  <c r="ER14" i="33"/>
  <c r="ER15" i="33"/>
  <c r="CO14" i="33"/>
  <c r="CO15" i="33"/>
  <c r="M3" i="28"/>
  <c r="G3" i="28"/>
  <c r="J4" i="28"/>
  <c r="R4" i="28"/>
  <c r="AC21" i="28"/>
  <c r="Y3" i="28"/>
  <c r="AA4" i="28"/>
  <c r="Q4" i="28"/>
  <c r="W2" i="28"/>
  <c r="F2" i="28"/>
  <c r="H5" i="28"/>
  <c r="AF2" i="28"/>
  <c r="F19" i="28"/>
  <c r="K19" i="28"/>
  <c r="AA3" i="28"/>
  <c r="G2" i="28"/>
  <c r="X6" i="28"/>
  <c r="W4" i="28"/>
  <c r="F4" i="28"/>
  <c r="I4" i="28"/>
  <c r="N4" i="28"/>
  <c r="M18" i="28"/>
  <c r="O21" i="28"/>
  <c r="AB18" i="28"/>
  <c r="G19" i="28"/>
  <c r="AA18" i="28"/>
  <c r="L19" i="28"/>
  <c r="AB21" i="28"/>
  <c r="S20" i="28"/>
  <c r="H20" i="28"/>
  <c r="T19" i="28"/>
  <c r="AA20" i="28"/>
  <c r="K20" i="28"/>
  <c r="AA19" i="28"/>
  <c r="N19" i="28"/>
  <c r="Z21" i="28"/>
  <c r="T18" i="28"/>
  <c r="O18" i="28"/>
  <c r="AD21" i="28"/>
  <c r="Z19" i="28"/>
  <c r="Z20" i="28"/>
  <c r="W20" i="28"/>
  <c r="R20" i="28"/>
  <c r="M21" i="28"/>
  <c r="T5" i="28"/>
  <c r="Z3" i="28"/>
  <c r="AB2" i="28"/>
  <c r="J18" i="28"/>
  <c r="Z18" i="28"/>
  <c r="J19" i="28"/>
  <c r="R21" i="28"/>
  <c r="U5" i="28"/>
  <c r="M5" i="28"/>
  <c r="Z2" i="28"/>
  <c r="G21" i="28"/>
  <c r="L18" i="28"/>
  <c r="M19" i="28"/>
  <c r="F21" i="28"/>
  <c r="E5" i="28"/>
  <c r="AC5" i="28"/>
  <c r="L2" i="28"/>
  <c r="R2" i="28"/>
  <c r="S2" i="28"/>
  <c r="O19" i="28"/>
  <c r="X21" i="28"/>
  <c r="AC18" i="28"/>
  <c r="Q18" i="28"/>
  <c r="R19" i="28"/>
  <c r="X19" i="28"/>
  <c r="X5" i="28"/>
  <c r="R5" i="28"/>
  <c r="AA2" i="28"/>
  <c r="S5" i="28"/>
  <c r="S39" i="28"/>
  <c r="AA21" i="28"/>
  <c r="N21" i="28"/>
  <c r="AD18" i="28"/>
  <c r="AA5" i="28"/>
  <c r="K5" i="28"/>
  <c r="J5" i="28"/>
  <c r="S21" i="28"/>
  <c r="AF5" i="28"/>
  <c r="Y2" i="28"/>
  <c r="R3" i="28"/>
  <c r="Q5" i="28"/>
  <c r="O5" i="28"/>
  <c r="I19" i="28"/>
  <c r="I2" i="28"/>
  <c r="AD2" i="28"/>
  <c r="Y5" i="28"/>
  <c r="AE5" i="28"/>
  <c r="J3" i="28"/>
  <c r="V5" i="28"/>
  <c r="T20" i="28"/>
  <c r="O2" i="28"/>
  <c r="AC2" i="28"/>
  <c r="W3" i="28"/>
  <c r="H2" i="28"/>
  <c r="F5" i="28"/>
  <c r="P3" i="28"/>
  <c r="U2" i="28"/>
  <c r="S17" i="28"/>
  <c r="Q19" i="28"/>
  <c r="AF3" i="28"/>
  <c r="H3" i="28"/>
  <c r="Z5" i="28"/>
  <c r="P5" i="28"/>
  <c r="I5" i="28"/>
  <c r="AD5" i="28"/>
  <c r="W6" i="28"/>
  <c r="AF6" i="28"/>
  <c r="Y6" i="28"/>
  <c r="P6" i="28"/>
  <c r="AE6" i="28"/>
  <c r="N6" i="28"/>
  <c r="F6" i="28"/>
  <c r="O6" i="28"/>
  <c r="R6" i="28"/>
  <c r="V6" i="28"/>
  <c r="J6" i="28"/>
  <c r="Q6" i="28"/>
  <c r="AD6" i="28"/>
  <c r="AB6" i="28"/>
  <c r="T6" i="28"/>
  <c r="E6" i="28"/>
  <c r="S6" i="28"/>
  <c r="I6" i="28"/>
  <c r="Z6" i="28"/>
  <c r="H6" i="28"/>
  <c r="B43" i="1"/>
  <c r="B75" i="1"/>
  <c r="B76" i="1"/>
  <c r="B77" i="1"/>
  <c r="B70" i="1"/>
  <c r="B73" i="1"/>
  <c r="B72" i="1"/>
  <c r="B74" i="1"/>
  <c r="B66" i="1"/>
  <c r="B63" i="1"/>
  <c r="B64" i="1"/>
  <c r="B65" i="1"/>
  <c r="B54" i="1"/>
  <c r="B55" i="1"/>
  <c r="B52" i="1"/>
  <c r="B62" i="1"/>
  <c r="B60" i="1"/>
  <c r="B61" i="1"/>
  <c r="B50" i="1"/>
  <c r="B51" i="1"/>
  <c r="B48" i="1"/>
  <c r="B49" i="1"/>
  <c r="CO17" i="33" l="1"/>
  <c r="M41" i="34" s="1"/>
  <c r="EF17" i="33"/>
  <c r="W29" i="34" s="1"/>
  <c r="EN17" i="33"/>
  <c r="W37" i="34" s="1"/>
  <c r="EJ17" i="33"/>
  <c r="W33" i="34" s="1"/>
  <c r="EB17" i="33"/>
  <c r="W25" i="34" s="1"/>
  <c r="FB17" i="33"/>
  <c r="W13" i="34" s="1"/>
  <c r="DN17" i="33"/>
  <c r="W54" i="34" s="1"/>
  <c r="CK17" i="33"/>
  <c r="M37" i="34" s="1"/>
  <c r="Z17" i="33"/>
  <c r="D29" i="34" s="1"/>
  <c r="CY17" i="33"/>
  <c r="M13" i="34" s="1"/>
  <c r="BK17" i="33"/>
  <c r="N54" i="34" s="1"/>
  <c r="ER17" i="33"/>
  <c r="W41" i="34" s="1"/>
  <c r="CG17" i="33"/>
  <c r="M33" i="34" s="1"/>
  <c r="H17" i="33"/>
  <c r="D54" i="34" s="1"/>
  <c r="V17" i="33"/>
  <c r="D25" i="34" s="1"/>
  <c r="AS17" i="33"/>
  <c r="D10" i="34" s="1"/>
  <c r="AV17" i="33"/>
  <c r="D13" i="34" s="1"/>
  <c r="E21" i="28"/>
  <c r="AL14" i="33"/>
  <c r="E19" i="28"/>
  <c r="AD14" i="33"/>
  <c r="P18" i="28"/>
  <c r="CC14" i="33"/>
  <c r="E20" i="28"/>
  <c r="AH14" i="33"/>
  <c r="W19" i="28"/>
  <c r="Q20" i="28"/>
  <c r="Y20" i="28"/>
  <c r="AD19" i="28"/>
  <c r="M20" i="28"/>
  <c r="B56" i="1"/>
  <c r="B67" i="1"/>
  <c r="B79" i="1" s="1"/>
  <c r="AC20" i="28"/>
  <c r="G18" i="28"/>
  <c r="P20" i="28"/>
  <c r="V20" i="28"/>
  <c r="U21" i="28"/>
  <c r="L21" i="28"/>
  <c r="L20" i="28"/>
  <c r="AE18" i="28"/>
  <c r="Y19" i="28"/>
  <c r="AE20" i="28"/>
  <c r="H19" i="28"/>
  <c r="X20" i="28"/>
  <c r="O20" i="28"/>
  <c r="K21" i="28"/>
  <c r="S19" i="28"/>
  <c r="AB19" i="28"/>
  <c r="AC19" i="28"/>
  <c r="I21" i="28"/>
  <c r="I20" i="28"/>
  <c r="E18" i="28"/>
  <c r="V21" i="28"/>
  <c r="W18" i="28"/>
  <c r="U18" i="28"/>
  <c r="AF18" i="28"/>
  <c r="H18" i="28"/>
  <c r="K18" i="28"/>
  <c r="N18" i="28"/>
  <c r="AE19" i="28"/>
  <c r="AD20" i="28"/>
  <c r="AF20" i="28"/>
  <c r="AF19" i="28"/>
  <c r="F20" i="28"/>
  <c r="S18" i="28"/>
  <c r="Q21" i="28"/>
  <c r="P19" i="28"/>
  <c r="H21" i="28"/>
  <c r="W21" i="28"/>
  <c r="T21" i="28"/>
  <c r="N20" i="28"/>
  <c r="X18" i="28"/>
  <c r="Y21" i="28"/>
  <c r="G20" i="28"/>
  <c r="J21" i="28"/>
  <c r="U20" i="28"/>
  <c r="J20" i="28"/>
  <c r="I18" i="28"/>
  <c r="U19" i="28"/>
  <c r="AE21" i="28"/>
  <c r="AB20" i="28"/>
  <c r="V19" i="28"/>
  <c r="AF21" i="28"/>
  <c r="F18" i="28"/>
  <c r="P21" i="28"/>
  <c r="R18" i="28"/>
  <c r="V18" i="28"/>
  <c r="Y18" i="28"/>
  <c r="G78" i="1"/>
  <c r="G79" i="1"/>
  <c r="P78" i="1"/>
  <c r="P79" i="1"/>
  <c r="AC79" i="1"/>
  <c r="AC78" i="1"/>
  <c r="T78" i="1"/>
  <c r="T79" i="1"/>
  <c r="E78" i="1"/>
  <c r="E79" i="1"/>
  <c r="AA78" i="1"/>
  <c r="AA79" i="1"/>
  <c r="D78" i="1"/>
  <c r="D79" i="1"/>
  <c r="U78" i="1"/>
  <c r="U79" i="1"/>
  <c r="AB78" i="1"/>
  <c r="AB79" i="1"/>
  <c r="Q78" i="1"/>
  <c r="Q79" i="1"/>
  <c r="K79" i="1"/>
  <c r="K78" i="1"/>
  <c r="R78" i="1"/>
  <c r="R79" i="1"/>
  <c r="L78" i="1"/>
  <c r="L79" i="1"/>
  <c r="M79" i="1"/>
  <c r="M78" i="1"/>
  <c r="C78" i="1"/>
  <c r="C79" i="1"/>
  <c r="O78" i="1"/>
  <c r="O79" i="1"/>
  <c r="Y78" i="1"/>
  <c r="Y79" i="1"/>
  <c r="Z78" i="1"/>
  <c r="Z79" i="1"/>
  <c r="W78" i="1"/>
  <c r="W79" i="1"/>
  <c r="V78" i="1"/>
  <c r="V79" i="1"/>
  <c r="J78" i="1"/>
  <c r="J79" i="1"/>
  <c r="X78" i="1"/>
  <c r="X79" i="1"/>
  <c r="F78" i="1"/>
  <c r="F79" i="1"/>
  <c r="I78" i="1"/>
  <c r="I79" i="1"/>
  <c r="S78" i="1"/>
  <c r="S79" i="1"/>
  <c r="N78" i="1"/>
  <c r="N79" i="1"/>
  <c r="H78" i="1"/>
  <c r="H79" i="1"/>
  <c r="AL17" i="33" l="1"/>
  <c r="D41" i="34" s="1"/>
  <c r="AH17" i="33"/>
  <c r="D37" i="34" s="1"/>
  <c r="CC17" i="33"/>
  <c r="M29" i="34" s="1"/>
  <c r="AD17" i="33"/>
  <c r="D33" i="34" s="1"/>
  <c r="AC80" i="1"/>
  <c r="M80" i="1"/>
  <c r="AB80" i="1"/>
  <c r="I80" i="1"/>
  <c r="S80" i="1"/>
  <c r="L80" i="1"/>
  <c r="K80" i="1"/>
  <c r="Y80" i="1"/>
  <c r="D80" i="1"/>
  <c r="J80" i="1"/>
  <c r="C80" i="1"/>
  <c r="E80" i="1"/>
  <c r="X80" i="1"/>
  <c r="AA80" i="1"/>
  <c r="P80" i="1"/>
  <c r="W80" i="1"/>
  <c r="Q80" i="1"/>
  <c r="H80" i="1"/>
  <c r="G80" i="1"/>
  <c r="Z80" i="1"/>
  <c r="F80" i="1"/>
  <c r="N80" i="1"/>
  <c r="V80" i="1"/>
  <c r="O80" i="1"/>
  <c r="R80" i="1"/>
  <c r="U80" i="1"/>
  <c r="T80" i="1"/>
  <c r="B78" i="1"/>
  <c r="B80"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Jonas Martin</author>
  </authors>
  <commentList>
    <comment ref="K1" authorId="0" shapeId="0" xr:uid="{00061AE0-A6BC-41BC-935D-0E0505D50ED7}">
      <text>
        <r>
          <rPr>
            <b/>
            <sz val="9"/>
            <color indexed="81"/>
            <rFont val="Tahoma"/>
            <family val="2"/>
          </rPr>
          <t>Jonas Martin:</t>
        </r>
        <r>
          <rPr>
            <sz val="9"/>
            <color indexed="81"/>
            <rFont val="Tahoma"/>
            <family val="2"/>
          </rPr>
          <t xml:space="preserve">
Note: We assume to load/unload the whole vehicle which is not always the case in reality.</t>
        </r>
      </text>
    </comment>
    <comment ref="B5" authorId="0" shapeId="0" xr:uid="{269705EA-6A6C-445E-AD03-B8260A97F597}">
      <text>
        <r>
          <rPr>
            <b/>
            <sz val="9"/>
            <color indexed="81"/>
            <rFont val="Tahoma"/>
            <family val="2"/>
          </rPr>
          <t>Jonas Martin:</t>
        </r>
        <r>
          <rPr>
            <sz val="9"/>
            <color indexed="81"/>
            <rFont val="Tahoma"/>
            <family val="2"/>
          </rPr>
          <t xml:space="preserve">
Do not have liquids in sea!</t>
        </r>
      </text>
    </comment>
    <comment ref="I23" authorId="0" shapeId="0" xr:uid="{599CDCA9-C431-466D-B2CC-1BFED319750B}">
      <text>
        <r>
          <rPr>
            <b/>
            <sz val="9"/>
            <color indexed="81"/>
            <rFont val="Tahoma"/>
            <family val="2"/>
          </rPr>
          <t>Jonas Martin:</t>
        </r>
        <r>
          <rPr>
            <sz val="9"/>
            <color indexed="81"/>
            <rFont val="Tahoma"/>
            <family val="2"/>
          </rPr>
          <t xml:space="preserve">
These values use the average loading in each from of transport to distribute the NOK/shipment to NOK/tonne.</t>
        </r>
      </text>
    </comment>
    <comment ref="F43" authorId="0" shapeId="0" xr:uid="{9B1D4954-1E36-4AA4-8103-4A5B41F2EFBB}">
      <text>
        <r>
          <rPr>
            <b/>
            <sz val="9"/>
            <color indexed="81"/>
            <rFont val="Tahoma"/>
            <family val="2"/>
          </rPr>
          <t>Jonas Martin:</t>
        </r>
        <r>
          <rPr>
            <sz val="9"/>
            <color indexed="81"/>
            <rFont val="Tahoma"/>
            <family val="2"/>
          </rPr>
          <t xml:space="preserve">
This value represents the filling and emptying of a container should not been considered for the pure container transfer between modes =&gt; substracted</t>
        </r>
      </text>
    </comment>
  </commentList>
</comments>
</file>

<file path=xl/sharedStrings.xml><?xml version="1.0" encoding="utf-8"?>
<sst xmlns="http://schemas.openxmlformats.org/spreadsheetml/2006/main" count="4610" uniqueCount="544">
  <si>
    <t>Fuel-specific</t>
  </si>
  <si>
    <t>Semi-trucking (5-axis)</t>
  </si>
  <si>
    <t>Input Sigmoid function</t>
  </si>
  <si>
    <t>Source</t>
  </si>
  <si>
    <t>Truck diesel</t>
  </si>
  <si>
    <t>Unit</t>
  </si>
  <si>
    <t>Truck hydrogen</t>
  </si>
  <si>
    <t>Truck battery</t>
  </si>
  <si>
    <t>midway</t>
  </si>
  <si>
    <t>a</t>
  </si>
  <si>
    <t>k</t>
  </si>
  <si>
    <t>Diesel</t>
  </si>
  <si>
    <t>Carbon permits</t>
  </si>
  <si>
    <t>[€/t]</t>
  </si>
  <si>
    <t>Capex costumization</t>
  </si>
  <si>
    <t>[€]</t>
  </si>
  <si>
    <t>b</t>
  </si>
  <si>
    <t>(prop.ly to other bulk, tractor trailer table 4.4)</t>
  </si>
  <si>
    <t>Capex vehicle</t>
  </si>
  <si>
    <t>(105484€; 115252€)</t>
  </si>
  <si>
    <t>CO2 content per mass</t>
  </si>
  <si>
    <t>kgCO2/kgfuel</t>
  </si>
  <si>
    <t>CO2 content per kWhel</t>
  </si>
  <si>
    <t>kg/kWh</t>
  </si>
  <si>
    <t>https://www.nowtricity.com/country/norway/</t>
  </si>
  <si>
    <t>Residual value (costumization)</t>
  </si>
  <si>
    <t>x</t>
  </si>
  <si>
    <t>(25%)</t>
  </si>
  <si>
    <t>Residual value (vehicle)</t>
  </si>
  <si>
    <t>c,x</t>
  </si>
  <si>
    <t>(18% of Capex, shrinking market)</t>
  </si>
  <si>
    <t>Energy density</t>
  </si>
  <si>
    <t>kWh/kg</t>
  </si>
  <si>
    <t>H2 production efficiency</t>
  </si>
  <si>
    <t>%</t>
  </si>
  <si>
    <t>Grid efficiency</t>
  </si>
  <si>
    <t>Heinemann, 2019</t>
  </si>
  <si>
    <t>Opex fix (admin, crew, insurance)</t>
  </si>
  <si>
    <t>[€/a]</t>
  </si>
  <si>
    <t>b,d</t>
  </si>
  <si>
    <t>(Meulen tab 4.4: staff + general; Martin: admin+driver+insurance)</t>
  </si>
  <si>
    <t>Lifetime vehicle</t>
  </si>
  <si>
    <t>[a]</t>
  </si>
  <si>
    <t>c</t>
  </si>
  <si>
    <t>(8 years)</t>
  </si>
  <si>
    <t>CO2 content per kWh</t>
  </si>
  <si>
    <t>kgCO2/kWh</t>
  </si>
  <si>
    <t>CO2 content per kWhH2</t>
  </si>
  <si>
    <t xml:space="preserve">Tonnage </t>
  </si>
  <si>
    <t>[t]</t>
  </si>
  <si>
    <t>f</t>
  </si>
  <si>
    <t>(25450 kg, not product specified)</t>
  </si>
  <si>
    <t>Opex maintenance &amp; repair</t>
  </si>
  <si>
    <t>(20471;20608 € per a)</t>
  </si>
  <si>
    <t>CO2 emission per km</t>
  </si>
  <si>
    <t>kg/km</t>
  </si>
  <si>
    <t>Market failure (av. utilization)</t>
  </si>
  <si>
    <t>[%]</t>
  </si>
  <si>
    <t>(p.29: slat, sand , gravel: 42%)</t>
  </si>
  <si>
    <t>Fuel Economy</t>
  </si>
  <si>
    <t>[kWh/km]</t>
  </si>
  <si>
    <t>(29.86; 23.47 kWh/km)</t>
  </si>
  <si>
    <t>CO2 emission cost per km</t>
  </si>
  <si>
    <t>€/km</t>
  </si>
  <si>
    <t>Annual Mileage</t>
  </si>
  <si>
    <t>[km/a]</t>
  </si>
  <si>
    <t>(p.29: slat, sand , gravel: same)</t>
  </si>
  <si>
    <t>Fuel Cost</t>
  </si>
  <si>
    <t>[€/kWh]</t>
  </si>
  <si>
    <t>j</t>
  </si>
  <si>
    <t>Lifetime costumization</t>
  </si>
  <si>
    <t>e</t>
  </si>
  <si>
    <t>(p.295: 12 years)</t>
  </si>
  <si>
    <t>Payload loss (fuel)</t>
  </si>
  <si>
    <t>same</t>
  </si>
  <si>
    <t>Opex var (mode-fees, cargo handling)</t>
  </si>
  <si>
    <t>[€/km]</t>
  </si>
  <si>
    <t>d</t>
  </si>
  <si>
    <t>(mode-specific: Road toll 13200€ per 120000km/a)</t>
  </si>
  <si>
    <t>WACC</t>
  </si>
  <si>
    <t>this study's  assumption</t>
  </si>
  <si>
    <t>g</t>
  </si>
  <si>
    <t>(diesel 3.17 KgCO2/kgdiesel, CO2 price assumed)</t>
  </si>
  <si>
    <t>Transport and Environment, 2021</t>
  </si>
  <si>
    <t>van der Meulen et a.m 2020</t>
  </si>
  <si>
    <t>Noll et al, 2022</t>
  </si>
  <si>
    <t>Battery</t>
  </si>
  <si>
    <t>Martin et al., 2023</t>
  </si>
  <si>
    <t>(417255€;145346€)</t>
  </si>
  <si>
    <t>Reuß et al. 2017</t>
  </si>
  <si>
    <t>(18% of Capex, emerging market)</t>
  </si>
  <si>
    <t>Gray et al., 2021</t>
  </si>
  <si>
    <t>Statistics Norway 2021</t>
  </si>
  <si>
    <t>(14359 € per year)</t>
  </si>
  <si>
    <t>h</t>
  </si>
  <si>
    <t>(p.29: chemical products: 48%)</t>
  </si>
  <si>
    <t>i</t>
  </si>
  <si>
    <t>(p.29: chemical products: same)</t>
  </si>
  <si>
    <t>Zenith, Frederico et al., 2019</t>
  </si>
  <si>
    <t>(-25 - 9%, depending on the range needed)</t>
  </si>
  <si>
    <t>SSB 2023, electricity prices (energy intensive industry)</t>
  </si>
  <si>
    <t>(Norwegian electricity 0.022 KgCO2/kWhel; 95% grid efficiency; CO2 price assumed)</t>
  </si>
  <si>
    <t>Hydrogen</t>
  </si>
  <si>
    <t>(391802; 154,318€)</t>
  </si>
  <si>
    <t>(26324;18735€ per year)</t>
  </si>
  <si>
    <t>(same</t>
  </si>
  <si>
    <t>(p.29: containers: 46%)</t>
  </si>
  <si>
    <t>(p.29: containers: same)</t>
  </si>
  <si>
    <t>(p.29: miscellaneous goods: 46%)</t>
  </si>
  <si>
    <t>(p.29: miscellaneous goods: same)</t>
  </si>
  <si>
    <t>(p.29: base metals: 48%)</t>
  </si>
  <si>
    <t>(p.29: base metals: same)</t>
  </si>
  <si>
    <t>Railway</t>
  </si>
  <si>
    <t>Rail Diesel</t>
  </si>
  <si>
    <t>Rail hydrogen</t>
  </si>
  <si>
    <t>Rail catenary</t>
  </si>
  <si>
    <t>Rail battery</t>
  </si>
  <si>
    <t>b, x</t>
  </si>
  <si>
    <t>(table.6.2: prop.ly to other bulk 150T€/wagon)</t>
  </si>
  <si>
    <t>(p. 4: 2.95M$)</t>
  </si>
  <si>
    <t>(5%; long life, sold before security risk)</t>
  </si>
  <si>
    <t>(15%;5%; long life, shrinking markets)</t>
  </si>
  <si>
    <t>(staff costs 250T€, general 400T€)</t>
  </si>
  <si>
    <t>p. 4: same</t>
  </si>
  <si>
    <t>b,a</t>
  </si>
  <si>
    <t>(80t/wagon max, 28 wagons)</t>
  </si>
  <si>
    <t>(p. 4: 5.31$/km)</t>
  </si>
  <si>
    <t>(table 6.1: salt, sand, gravel, clay)</t>
  </si>
  <si>
    <t>(industry interview: "1,8 litres/km for the locomotive + 0,0041 litres/tonnkm for the freight cars"</t>
  </si>
  <si>
    <t>(table 6.1: different to c)</t>
  </si>
  <si>
    <t>c, x</t>
  </si>
  <si>
    <t>(industry interview: same)</t>
  </si>
  <si>
    <t>(table 6.2: 700T€/178500 km/a track access, shunting)</t>
  </si>
  <si>
    <t>Cargonet, Erik Halland</t>
  </si>
  <si>
    <t>Statistics Norway, 2021</t>
  </si>
  <si>
    <t>Catenary</t>
  </si>
  <si>
    <t>Noll 2021</t>
  </si>
  <si>
    <t>(table.6.2: prop.ly to other bulk 200T€/wagon)</t>
  </si>
  <si>
    <t>(4.1M$)</t>
  </si>
  <si>
    <t>(15%;15%; long life, stable markets)</t>
  </si>
  <si>
    <t>(staff costs 250T€, general 370T€)</t>
  </si>
  <si>
    <t>(3.03$/km)</t>
  </si>
  <si>
    <t>(table 6.1: chemicals)</t>
  </si>
  <si>
    <t>(Diesel economy:35% =&gt; Catenary:85%)</t>
  </si>
  <si>
    <t>kWh/l</t>
  </si>
  <si>
    <t>(table 6.2: 650T€/178500 km/a  track access, shunting)</t>
  </si>
  <si>
    <t>same+</t>
  </si>
  <si>
    <t>average number of wagons</t>
  </si>
  <si>
    <t>(table.6.2: prop.ly to other bulk 100T€/wagon)</t>
  </si>
  <si>
    <t>(5%;15%; long life, emerging markets)</t>
  </si>
  <si>
    <t>max. Payload per wagon</t>
  </si>
  <si>
    <t>t</t>
  </si>
  <si>
    <t>(table.6.2: staff costs 250T€, general 360T€)</t>
  </si>
  <si>
    <t>x,a</t>
  </si>
  <si>
    <t xml:space="preserve"> (oriented on a, diesel cat)</t>
  </si>
  <si>
    <t>(table 6.1: container)</t>
  </si>
  <si>
    <t>(Diesel economy:35% =&gt; Battery:80%)</t>
  </si>
  <si>
    <t>(assuming initially one wagon for battery technology)</t>
  </si>
  <si>
    <t>(table.6.2: staff costs 600T€, general 850T€)</t>
  </si>
  <si>
    <t>(table 6.1: miscellaneous goods)</t>
  </si>
  <si>
    <t>(Diesel economy:35% =&gt; Hydrogen:55-&gt;65%)</t>
  </si>
  <si>
    <t>(assuming initially half a wagon for battery technology)</t>
  </si>
  <si>
    <t>(table 6.2: 1.6M€/178500 km/a  track access, shunting)</t>
  </si>
  <si>
    <t>(table.6.2: prop.ly to other bulk 125T€/wagon)</t>
  </si>
  <si>
    <t>(table.6.2: staff costs 250T€, general 400T€)</t>
  </si>
  <si>
    <t>(table 6.1: base metals and metal products)</t>
  </si>
  <si>
    <t>(table 6.2: 700T€/178500 km/a  track access, shunting)</t>
  </si>
  <si>
    <t>Sea</t>
  </si>
  <si>
    <t>Sea MGO</t>
  </si>
  <si>
    <t>Sea hydrogen</t>
  </si>
  <si>
    <t>Sea ammonia</t>
  </si>
  <si>
    <t>Sea methanol</t>
  </si>
  <si>
    <t>Short-sea: Dry bulk</t>
  </si>
  <si>
    <t>(table.3.5: prop.ly to other bulk)</t>
  </si>
  <si>
    <t>(10%;10%; long life, stable)</t>
  </si>
  <si>
    <t>(10%;5%; long life, shrinking markets, interview)</t>
  </si>
  <si>
    <t>(28t/24h: assuming HFO equals MGO, improvements)</t>
  </si>
  <si>
    <t>(diesel 3.17 KgCO2/kgMGO, CO2 price assumed)</t>
  </si>
  <si>
    <t>Drewy 2013 (factored by 1.5)</t>
  </si>
  <si>
    <t>Short-sea: Container</t>
  </si>
  <si>
    <t>Confeeder</t>
  </si>
  <si>
    <t>(5%;10%; long life, emerging markets)</t>
  </si>
  <si>
    <t>(same: propotionally to diesel; efficiency gains)</t>
  </si>
  <si>
    <t>(assumed to achieve improvments in storage density)</t>
  </si>
  <si>
    <t>Short-sea: Break bulk</t>
  </si>
  <si>
    <t>Ammonia</t>
  </si>
  <si>
    <t>Methanol</t>
  </si>
  <si>
    <t>(small adjustments compared to diesel)</t>
  </si>
  <si>
    <t>(assumed to be the same as for MGO combustion engine, improvements)</t>
  </si>
  <si>
    <t>(half of LH2 loss, no improvments assumed)</t>
  </si>
  <si>
    <t>Energy density methanol</t>
  </si>
  <si>
    <t>Mass</t>
  </si>
  <si>
    <t>Volume</t>
  </si>
  <si>
    <t xml:space="preserve">* Capex vehicle: Purchase cost of the non-costumized asset  </t>
  </si>
  <si>
    <t xml:space="preserve">** Capex installation: May include costumized trailer or application-specific features </t>
  </si>
  <si>
    <t>DO NOT CHANGE THE WHITE CELLS</t>
  </si>
  <si>
    <t>COSTUMIZE THE BLUE BOXES</t>
  </si>
  <si>
    <t>CALCULATOR OUTPUT</t>
  </si>
  <si>
    <t>Input parameter</t>
  </si>
  <si>
    <t>Applied cost change factor</t>
  </si>
  <si>
    <t>Start value</t>
  </si>
  <si>
    <t>End value</t>
  </si>
  <si>
    <t>min</t>
  </si>
  <si>
    <t>max</t>
  </si>
  <si>
    <t>Emission Cost</t>
  </si>
  <si>
    <t>Tonnage .</t>
  </si>
  <si>
    <t>Calulation</t>
  </si>
  <si>
    <t>€/a</t>
  </si>
  <si>
    <t>€/tkm</t>
  </si>
  <si>
    <t>Examplary Vehicle</t>
  </si>
  <si>
    <t>Comments</t>
  </si>
  <si>
    <t>Old fuels used in STraM:</t>
  </si>
  <si>
    <t>Road: Diesel, Hydrogen, Battery electric, Biodiesel, Biogas</t>
  </si>
  <si>
    <t>Sea: Hydrogen, Ammonia, HFO, MGO, LNG, Biodiesel (HVO), Biogas</t>
  </si>
  <si>
    <t>What fuel names to use? Some don't match with names in our model; see yellow cells</t>
  </si>
  <si>
    <t>Rail: Electric train (CL), Diesel, Hybrid, Battery train, Hydrogen, Biodiesel</t>
  </si>
  <si>
    <t>Short-sea sheets do not have liquid bulk (should it be included? discuss with Steffen)</t>
  </si>
  <si>
    <t>Mode</t>
  </si>
  <si>
    <t>Fuel</t>
  </si>
  <si>
    <t>Road</t>
  </si>
  <si>
    <t>Dry bulk</t>
  </si>
  <si>
    <t>Liquid bulk</t>
  </si>
  <si>
    <t>Container</t>
  </si>
  <si>
    <t>Break bulk</t>
  </si>
  <si>
    <t>Neo bulk</t>
  </si>
  <si>
    <t>Rail</t>
  </si>
  <si>
    <t>Long term: do all the calculations in python. Only maintain "parameter input" tab</t>
  </si>
  <si>
    <t>We don't use "Truck", right?</t>
  </si>
  <si>
    <t>effective tonnage 2023</t>
  </si>
  <si>
    <t>effective tonnage 2050</t>
  </si>
  <si>
    <t>Index</t>
  </si>
  <si>
    <t>emissions 2023 (g/tkm)</t>
  </si>
  <si>
    <t>emissions 2050 (g/tkm)</t>
  </si>
  <si>
    <t>sigmoid parameters in "Output emissions" are not linked to "parameter input" sheet</t>
  </si>
  <si>
    <t>Product class</t>
  </si>
  <si>
    <t>Product groups undifferentiated by time value (such as "Container") are called Product Classes in the code. The ones differentiated (such as "Container (fast)") are called Products in the code</t>
  </si>
  <si>
    <t>Global parameters</t>
  </si>
  <si>
    <t>Carbon price</t>
  </si>
  <si>
    <t>Is this the full fuel list? Ignore biofuels? How about LNG? MGO? Is "Diesel" for sea MDO?</t>
  </si>
  <si>
    <t>Update transfer costs for the new product groups (Jonas)</t>
  </si>
  <si>
    <t>Transfer type</t>
  </si>
  <si>
    <t>sea-rail</t>
  </si>
  <si>
    <t>sea-road</t>
  </si>
  <si>
    <t>rail-road</t>
  </si>
  <si>
    <t>From</t>
  </si>
  <si>
    <t>To</t>
  </si>
  <si>
    <t>TO DO</t>
  </si>
  <si>
    <t>emissions 2023 (kg/km)</t>
  </si>
  <si>
    <t>emissions 2050 (kg/km)</t>
  </si>
  <si>
    <t>l</t>
  </si>
  <si>
    <t>FuelsEurope2022</t>
  </si>
  <si>
    <t>page 10</t>
  </si>
  <si>
    <t>g, m</t>
  </si>
  <si>
    <t>m</t>
  </si>
  <si>
    <t>Martin_policy</t>
  </si>
  <si>
    <t>f, m</t>
  </si>
  <si>
    <t>(-5 - 2%, depending on the range needed)</t>
  </si>
  <si>
    <t>Braun 2016</t>
  </si>
  <si>
    <t>n</t>
  </si>
  <si>
    <t>b,n</t>
  </si>
  <si>
    <t>Opex var (mode-fees)</t>
  </si>
  <si>
    <t>Product-specific</t>
  </si>
  <si>
    <t>Diesel combustion</t>
  </si>
  <si>
    <t>Battery electric</t>
  </si>
  <si>
    <t>Hydrogen fuel cell</t>
  </si>
  <si>
    <t>Road long-haul: Dry bulk</t>
  </si>
  <si>
    <t>Road long-haul: Liquid bulk</t>
  </si>
  <si>
    <t>Road long-haul: Container</t>
  </si>
  <si>
    <t>Road long-haul: Break bulk</t>
  </si>
  <si>
    <t>Railway long-haul: Dry bulk</t>
  </si>
  <si>
    <t>Railway long-haul: Liquid bulk</t>
  </si>
  <si>
    <t>Railway long-haul: Container</t>
  </si>
  <si>
    <t>Railway long-haul: Break bulk</t>
  </si>
  <si>
    <t>Opex var (mode-fees, shunting)</t>
  </si>
  <si>
    <t>Sea HFO</t>
  </si>
  <si>
    <t>MGO</t>
  </si>
  <si>
    <t>HFO</t>
  </si>
  <si>
    <t>https://www.researchgate.net/publication/351748799_Assessing_the_Link_between_Vessel_Size_and_Maritime_Supply_Chain_Sustainable_Performance/figures?lo=1</t>
  </si>
  <si>
    <t>Ulstein 2019</t>
  </si>
  <si>
    <t>a,c,l</t>
  </si>
  <si>
    <t>(Drewy 2013 (harmonized by 1.5); minus costimization; Ulstein 12-15M $)</t>
  </si>
  <si>
    <t>same factor to fossil; minus costumization</t>
  </si>
  <si>
    <t>(HFO 3.20 KgCO2/kgHFO, CO2 price assumed)</t>
  </si>
  <si>
    <t>Martin _policy 2023</t>
  </si>
  <si>
    <t>(Norwegian electricity 0.022 KgCO2/kWhel; 61-70%  efficiency (fuel production); CO2 price assumed)</t>
  </si>
  <si>
    <t>(Norwegian electricity 0.022 KgCO2/kWhel; 61-70% efficiency (fuel production); CO2 price assumed)</t>
  </si>
  <si>
    <t>onshore wind scenario (production+distribution, without fuel station)</t>
  </si>
  <si>
    <t>onshore wind scenario (production+grid fee, without fuel station)</t>
  </si>
  <si>
    <t>a,x</t>
  </si>
  <si>
    <t>(Fig. 8, 600€/t maritime gas stock market prices 2015-2022, distribution neglected)</t>
  </si>
  <si>
    <t>(Fig. 8, 357€/t maritime gas stock market prices 2015-2022, distribution neglected)</t>
  </si>
  <si>
    <t>IRENA 2021</t>
  </si>
  <si>
    <t>(Norwegian electricity 0.022 KgCO2/kWhel; 45-56% efficiency (fuel production); CO2 price assumed)</t>
  </si>
  <si>
    <t>(Norwegian electricity 0.022 KgCO2/kWhel; 52-60% efficiency (fuel production); CO2 price assumed)</t>
  </si>
  <si>
    <t>Used for calculation of methanol costs:</t>
  </si>
  <si>
    <t>b,l,x</t>
  </si>
  <si>
    <t>(representative feeder, average short-sea capacity)</t>
  </si>
  <si>
    <t>(table 3.2: large; Coal, brown coal and cokes; inland waterway. +10% as adjustment to short sea shipping (see higher factor for long-sea in b))</t>
  </si>
  <si>
    <t>(table 3.2: large; Container; inland waterway.  +10% as adjustment to short sea shipping (see higher factor for long-sea in b))</t>
  </si>
  <si>
    <t>(table 3.2: large; Miscellaneous goods; inland waterway.  +10% as adjustment to short sea shipping (see higher factor for long-sea in b))</t>
  </si>
  <si>
    <t>(table 3.2: large; Base metals and metal products; inland waterway.  +10% as adjustment to short sea shipping (see higher factor for long-sea in b))</t>
  </si>
  <si>
    <t>c, b</t>
  </si>
  <si>
    <t>(Martin: 118231 km/a), van Meulen push barges</t>
  </si>
  <si>
    <t>(p.82 DAC only, 1800;460  USD/t MeOH; USD/EURO 0.85)</t>
  </si>
  <si>
    <t>(Push barges innland waterway: Port fee: 100000€/118231km/a, adjusted with the product-specific factor in the large ship table)</t>
  </si>
  <si>
    <t>(p. 60: Crew, Insurave, general expenses USD =&gt; Euro)</t>
  </si>
  <si>
    <t>(Drewy 2013 (Spares, Stores, Lubriciation, R&amp;M; from USD to Euro))</t>
  </si>
  <si>
    <t>(Drewy 2013 (Spares, Stores, !NO! Lubriciation, R&amp;M; from USD to Euro))</t>
  </si>
  <si>
    <t>k, m</t>
  </si>
  <si>
    <t>i,j,k, m</t>
  </si>
  <si>
    <t>Martin policy</t>
  </si>
  <si>
    <t>d,f,g, l</t>
  </si>
  <si>
    <t>d,f, l</t>
  </si>
  <si>
    <t>d,k, l</t>
  </si>
  <si>
    <t>g,i, m</t>
  </si>
  <si>
    <t>g,i,h, m</t>
  </si>
  <si>
    <t>a,c, l</t>
  </si>
  <si>
    <t>a, c, l</t>
  </si>
  <si>
    <t>a,d, l, c</t>
  </si>
  <si>
    <t>e,l, c</t>
  </si>
  <si>
    <t>a,b</t>
  </si>
  <si>
    <t>BC</t>
  </si>
  <si>
    <t>WC</t>
  </si>
  <si>
    <t>Sea - Dry bulk - Hydrogen</t>
  </si>
  <si>
    <t>Sea - Dry bulk - Ammonia</t>
  </si>
  <si>
    <t>Sea - Dry bulk - Methanol</t>
  </si>
  <si>
    <t>Sea - Container - Hydrogen</t>
  </si>
  <si>
    <t>Sea - Container - Ammonia</t>
  </si>
  <si>
    <t>Sea - Container - Methanol</t>
  </si>
  <si>
    <t>Sea - Break bulk - Hydrogen</t>
  </si>
  <si>
    <t>Sea - Break bulk - Ammonia</t>
  </si>
  <si>
    <t>Sea - Break bulk - Methanol</t>
  </si>
  <si>
    <t>Sea - Neon bulk - Hydrogen</t>
  </si>
  <si>
    <t>Sea - Neon bulk - Ammoina</t>
  </si>
  <si>
    <t>Sea - Neon bulk - Methanol</t>
  </si>
  <si>
    <t>Rail - Dry bulk - Diesel</t>
  </si>
  <si>
    <t>Rail - Dry bulk - Catenary</t>
  </si>
  <si>
    <t>Rail - Dry bulk - Battery</t>
  </si>
  <si>
    <t>Rail - Dry bulk - Hydrogen</t>
  </si>
  <si>
    <t>Rail - Liquid bulk - Diesel</t>
  </si>
  <si>
    <t>Rail - Liquid bulk - Catenary</t>
  </si>
  <si>
    <t>Rail - Liquid bulk - Battery</t>
  </si>
  <si>
    <t>Rail - Liquid bulk - Hydrogen</t>
  </si>
  <si>
    <t>Rail - Container - Diesel</t>
  </si>
  <si>
    <t>Rail - Container - Catenary</t>
  </si>
  <si>
    <t>Rail - Container - Battery</t>
  </si>
  <si>
    <t>Rail - Container - Hydrogen</t>
  </si>
  <si>
    <t>Rail - Break bulk - Diesel</t>
  </si>
  <si>
    <t>Rail - Break bulk - Catenary</t>
  </si>
  <si>
    <t>Rail - Break bulk - Battery</t>
  </si>
  <si>
    <t>Rail - Break bulk - Hydrogen</t>
  </si>
  <si>
    <t>Rail - Neon bulk - Diesel</t>
  </si>
  <si>
    <t>Rail - Neon bulk - Catenary</t>
  </si>
  <si>
    <t>Rail - Neon bulk - Battery</t>
  </si>
  <si>
    <t>Rail - Neon bulk - Hydrogen</t>
  </si>
  <si>
    <t>Road - Dry bulk - Diesel</t>
  </si>
  <si>
    <t>Road - Dry bulk - Battery</t>
  </si>
  <si>
    <t>Road - Dry bulk - Hydrogen</t>
  </si>
  <si>
    <t>Road - Liquid bulk - Diesel</t>
  </si>
  <si>
    <t>Road - Liquid bulk - Battery</t>
  </si>
  <si>
    <t>Road - Liquid bulk - Hydrogen</t>
  </si>
  <si>
    <t>Road - Container - Diesel</t>
  </si>
  <si>
    <t>Road - Container - Battery</t>
  </si>
  <si>
    <t>Road - Container - Hydrogen</t>
  </si>
  <si>
    <t>Road - Break bulk - Diesel</t>
  </si>
  <si>
    <t>Road - Break bulk - Battery</t>
  </si>
  <si>
    <t>Road - Break bulk - Hydrogen</t>
  </si>
  <si>
    <t>Road - Neon bulk - Diesel</t>
  </si>
  <si>
    <t>Road - Neon bulk - Battery</t>
  </si>
  <si>
    <t>Road - Neon bulk - Hydrogen</t>
  </si>
  <si>
    <t>Sea - Dry bulk - Maritime gas oil</t>
  </si>
  <si>
    <t>Sea - Container - Maritime gas oil</t>
  </si>
  <si>
    <t>Sea - Break bulk - Maritime gas oil</t>
  </si>
  <si>
    <t>Sea - Neon bulk - Maritime gas oil</t>
  </si>
  <si>
    <t>Sea - Dry bulk - Heavy fuel oil</t>
  </si>
  <si>
    <t>Sea - Container - Heavy fuel oil</t>
  </si>
  <si>
    <t>Sea - Break bulk - Heavy fuel oil</t>
  </si>
  <si>
    <t>Sea - Neon bulk - Heavy fuel oil</t>
  </si>
  <si>
    <t>SUM</t>
  </si>
  <si>
    <t>Column1</t>
  </si>
  <si>
    <t>Column2</t>
  </si>
  <si>
    <t>Column3</t>
  </si>
  <si>
    <t>Column4</t>
  </si>
  <si>
    <t>Column5</t>
  </si>
  <si>
    <t>Column6</t>
  </si>
  <si>
    <t>Column7</t>
  </si>
  <si>
    <t>Column8</t>
  </si>
  <si>
    <t>Column9</t>
  </si>
  <si>
    <t>Column10</t>
  </si>
  <si>
    <t>Column11</t>
  </si>
  <si>
    <t>Column12</t>
  </si>
  <si>
    <t>Column13</t>
  </si>
  <si>
    <t>Column14</t>
  </si>
  <si>
    <t>Table connected with cells (not ordered by size)</t>
  </si>
  <si>
    <t>Figure for table above (not order by size)</t>
  </si>
  <si>
    <t>Manually generate an unlinked copy of the data above for this table.</t>
  </si>
  <si>
    <t>Copy the data above vertically into the table below to order by size.</t>
  </si>
  <si>
    <t>Copy the ordered values by size above into the table below to feed the figure at the right of this table with data.</t>
  </si>
  <si>
    <t xml:space="preserve">Trips partially loaded </t>
  </si>
  <si>
    <t>Trips empty</t>
  </si>
  <si>
    <t>this is the average share of empty trips for trucks in the Netherlands (exlsion from van Meulen value to avoid double counting in StrAM)</t>
  </si>
  <si>
    <t>Correction value being the counterpart for empty trips below</t>
  </si>
  <si>
    <t>Diesel Road/Rail</t>
  </si>
  <si>
    <t>MGO Sea</t>
  </si>
  <si>
    <t>HFO Sea</t>
  </si>
  <si>
    <t>Electricity</t>
  </si>
  <si>
    <t>AC</t>
  </si>
  <si>
    <t>Trucking</t>
  </si>
  <si>
    <t>Shipping</t>
  </si>
  <si>
    <t>Transfer field</t>
  </si>
  <si>
    <t>Percentages</t>
  </si>
  <si>
    <t>Fuel Group</t>
  </si>
  <si>
    <t>Scenario</t>
  </si>
  <si>
    <t>Time period</t>
  </si>
  <si>
    <t>Product Group</t>
  </si>
  <si>
    <t>Cost factor</t>
  </si>
  <si>
    <t>B</t>
  </si>
  <si>
    <t>O</t>
  </si>
  <si>
    <t>P</t>
  </si>
  <si>
    <t>Established</t>
  </si>
  <si>
    <t>Scenarios B (Base), O (Optimistic), P (Pessimistic) - linked to the LCOT cost calculations. Change the fuel cost in PARAMETER INPUT to generate new fuel scenarios here. The output format for STrAM is generated automatically in the right table.</t>
  </si>
  <si>
    <t>Loading cost (NOK/Tonne)</t>
  </si>
  <si>
    <t>Terminal costs (NOK/Tonne)</t>
  </si>
  <si>
    <t>Total cost (NOK/Tonne)</t>
  </si>
  <si>
    <t>The whole calculation follows the desription of Gronland 2022</t>
  </si>
  <si>
    <t>Original data in Gronland 2022 - Cost models for transport</t>
  </si>
  <si>
    <t>NOK/tonne</t>
  </si>
  <si>
    <t>NOK/shipment</t>
  </si>
  <si>
    <t>=&gt;</t>
  </si>
  <si>
    <t>Container lo/lo 9000 dwt</t>
  </si>
  <si>
    <t>Terminal cost vessel p. 25</t>
  </si>
  <si>
    <t>Break bulk lo/lo 8500 dwt</t>
  </si>
  <si>
    <t>Dry bulk 6200 dwt</t>
  </si>
  <si>
    <t>Dry Bulk</t>
  </si>
  <si>
    <t>Ro/ro (cargo) 10070 dwt</t>
  </si>
  <si>
    <t>Kombitog, el</t>
  </si>
  <si>
    <t>Terminal costs rail p. 18</t>
  </si>
  <si>
    <t>Termotog (kombi), el</t>
  </si>
  <si>
    <t xml:space="preserve">Tørrbulktog, el </t>
  </si>
  <si>
    <t>Biltog, el</t>
  </si>
  <si>
    <t>Våtbulktog, el</t>
  </si>
  <si>
    <t>Semitrailere container</t>
  </si>
  <si>
    <t>Terminal costs truck p. 11</t>
  </si>
  <si>
    <t>Semitrailer (kasse)</t>
  </si>
  <si>
    <t>Tørrbulkbil (vektet med og uten henger)</t>
  </si>
  <si>
    <t>Tømmerbil med henger</t>
  </si>
  <si>
    <t>Tankbil</t>
  </si>
  <si>
    <t>KII</t>
  </si>
  <si>
    <t>Emtying and filling</t>
  </si>
  <si>
    <t>NOK</t>
  </si>
  <si>
    <t>A</t>
  </si>
  <si>
    <t>page 30</t>
  </si>
  <si>
    <t>Electric system trains (dry bulk)</t>
  </si>
  <si>
    <t>Tanker vessel 6500 dwt</t>
  </si>
  <si>
    <t>Electric combi trains</t>
  </si>
  <si>
    <t>Break bulk lolo, 8500 dwt</t>
  </si>
  <si>
    <t>Electric timber trains</t>
  </si>
  <si>
    <t>Dry bulk truck</t>
  </si>
  <si>
    <t>Electric system trains (wet bulk)</t>
  </si>
  <si>
    <t>Tank truck</t>
  </si>
  <si>
    <t>Heavy distribution, containers</t>
  </si>
  <si>
    <t>Heavy distribution closed unit</t>
  </si>
  <si>
    <t>Timber truck with hanger</t>
  </si>
  <si>
    <t>Berth waiting [min/vessel]</t>
  </si>
  <si>
    <t>p. 11</t>
  </si>
  <si>
    <t>From:" Port-2-Port Communication Enhancing Short Sea Shipping Performance: The Case Study of Cyprus and the Eastern Mediterranean", 2019</t>
  </si>
  <si>
    <t>Bulk Carrier</t>
  </si>
  <si>
    <t>General Cargo</t>
  </si>
  <si>
    <t>Tanker</t>
  </si>
  <si>
    <t>Loading / Unloading time per ... [min]</t>
  </si>
  <si>
    <t>From: "Review of Maritime Transport 2023"</t>
  </si>
  <si>
    <t>Container [min/t]</t>
  </si>
  <si>
    <t>p. 92 (5min/con)</t>
  </si>
  <si>
    <t>Break bulk [min/t]</t>
  </si>
  <si>
    <t>assumption</t>
  </si>
  <si>
    <t>Dry Bulk [min/t]</t>
  </si>
  <si>
    <t>Neo bulk [min/t]</t>
  </si>
  <si>
    <t>Cargo waiting time in hub [h]</t>
  </si>
  <si>
    <t>Assumptions</t>
  </si>
  <si>
    <t>Optimistic</t>
  </si>
  <si>
    <t>Base</t>
  </si>
  <si>
    <t>Pessimistic</t>
  </si>
  <si>
    <t>Fuel cost in the next section below are not linked: manuel input on the right from the scenarios below:</t>
  </si>
  <si>
    <t>Copy past the fuel cost uncertainties below into the grey box above to generate new results =&gt; "Output fuel scenarios" can be used to bring the scenario result in the right form for STrAM.</t>
  </si>
  <si>
    <t>Sea:</t>
  </si>
  <si>
    <t>All modes:</t>
  </si>
  <si>
    <t>Waiting time cargo in port [h]</t>
  </si>
  <si>
    <t>Unloading whole vehicle (from) [h]</t>
  </si>
  <si>
    <t>Transfer loading/unloading total [h]</t>
  </si>
  <si>
    <t>Loading whole vehicle (to) [h]</t>
  </si>
  <si>
    <t>Emission prices</t>
  </si>
  <si>
    <t>Carbon price trajectories for use in socio-economic analyzes - regjeringen.no, https://www.regjeringen.no/no/tema/okonomi-og-budsjett/statlig-okonomistyring/karbonprisbaner-for-bruk-i-samfunnsokonomiske-analyser/id2878113/</t>
  </si>
  <si>
    <t>€/t</t>
  </si>
  <si>
    <t>Low scenario</t>
  </si>
  <si>
    <t>High scenario</t>
  </si>
  <si>
    <t>World Energy Outlook 2023</t>
  </si>
  <si>
    <t>p. 297</t>
  </si>
  <si>
    <t>Stated Policy Scenario</t>
  </si>
  <si>
    <t>Announced Pledges</t>
  </si>
  <si>
    <t>Net Zero Emission by 2050 Scenario</t>
  </si>
  <si>
    <t>Liquid bulk [min/t]</t>
  </si>
  <si>
    <t>25 min pro trailer (25t)</t>
  </si>
  <si>
    <t>Ikke kvotepliktig</t>
  </si>
  <si>
    <t>Intermediate scenario</t>
  </si>
  <si>
    <t>LC</t>
  </si>
  <si>
    <t>HC</t>
  </si>
  <si>
    <t>Sum</t>
  </si>
  <si>
    <t>Electricity Low</t>
  </si>
  <si>
    <t>Hydrogen Low</t>
  </si>
  <si>
    <t>Ammonia Low</t>
  </si>
  <si>
    <t>Methanol Low</t>
  </si>
  <si>
    <t>Diesel Low</t>
  </si>
  <si>
    <t>MGO Low</t>
  </si>
  <si>
    <t>HFO Low</t>
  </si>
  <si>
    <t>Electricity Base</t>
  </si>
  <si>
    <t>Hydrogen Base</t>
  </si>
  <si>
    <t>Ammonia Base</t>
  </si>
  <si>
    <t>Methanol Base</t>
  </si>
  <si>
    <t>Diesel Base</t>
  </si>
  <si>
    <t>MGO Base</t>
  </si>
  <si>
    <t>HFO Base</t>
  </si>
  <si>
    <t>Electricity High</t>
  </si>
  <si>
    <t>Hydrogen High</t>
  </si>
  <si>
    <t>Ammonia High</t>
  </si>
  <si>
    <t>Methanol High</t>
  </si>
  <si>
    <t>Diesel High</t>
  </si>
  <si>
    <t>MGO High</t>
  </si>
  <si>
    <t>HFO High</t>
  </si>
  <si>
    <t>Capex (costumization)</t>
  </si>
  <si>
    <t>Opex fix (e.g. Crew)</t>
  </si>
  <si>
    <t>Opex var</t>
  </si>
  <si>
    <t>Payload loss (market)</t>
  </si>
  <si>
    <t>Sea - Container - Marine gas oil</t>
  </si>
  <si>
    <t>€/kWh</t>
  </si>
  <si>
    <t xml:space="preserve"> </t>
  </si>
  <si>
    <t>TAX</t>
  </si>
  <si>
    <t>Road tax on fuel - The Norwegian Tax Administration</t>
  </si>
  <si>
    <t>Mineral product tax - The Norwegian Tax Administration</t>
  </si>
  <si>
    <t>These values are not used here and just implemented to document what is used in the analysis. STrAM has its own emission price input.</t>
  </si>
  <si>
    <t>I</t>
  </si>
  <si>
    <t>Emission cost</t>
  </si>
  <si>
    <t>Road long-haul: Neo bulk</t>
  </si>
  <si>
    <t>Railway long-haul: Neo bulk</t>
  </si>
  <si>
    <t>Short-sea: Neo bulk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</si>
</sst>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_);_(* \(#,##0\);_(* &quot;-&quot;_);_(@_)"/>
    <numFmt numFmtId="165" formatCode="_(&quot;$&quot;* #,##0.00_);_(&quot;$&quot;* \(#,##0.00\);_(&quot;$&quot;* &quot;-&quot;??_);_(@_)"/>
    <numFmt numFmtId="166" formatCode="_(* #,##0.00_);_(* \(#,##0.00\);_(* &quot;-&quot;??_);_(@_)"/>
    <numFmt numFmtId="167" formatCode="_(* #,##0.00_);_(* \(#,##0.00\);_(* &quot;-&quot;_);_(@_)"/>
    <numFmt numFmtId="168" formatCode="_(* #,##0.0_);_(* \(#,##0.0\);_(* &quot;-&quot;_);_(@_)"/>
    <numFmt numFmtId="169" formatCode="0.000"/>
    <numFmt numFmtId="170" formatCode="0.0000"/>
    <numFmt numFmtId="174" formatCode="0.0"/>
    <numFmt numFmtId="176" formatCode="#,##0\ [$€-1];[Red]\-#,##0\ [$€-1]"/>
    <numFmt numFmtId="177" formatCode="0.00000"/>
  </numFmts>
  <fonts count="26" x14ac:knownFonts="1">
    <font>
      <sz val="11"/>
      <color theme="1"/>
      <name val="Calibri"/>
      <family val="2"/>
      <scheme val="minor"/>
    </font>
    <font>
      <sz val="11"/>
      <color theme="1"/>
      <name val="Calibri"/>
      <family val="2"/>
      <scheme val="minor"/>
    </font>
    <font>
      <b/>
      <sz val="16"/>
      <name val="Calibri Light"/>
      <family val="2"/>
      <scheme val="major"/>
    </font>
    <font>
      <sz val="11"/>
      <color theme="0"/>
      <name val="Calibri Light"/>
      <family val="2"/>
      <scheme val="major"/>
    </font>
    <font>
      <sz val="11"/>
      <color theme="1"/>
      <name val="Calibri Light"/>
      <family val="2"/>
      <scheme val="major"/>
    </font>
    <font>
      <b/>
      <sz val="11"/>
      <color theme="0"/>
      <name val="Calibri Light"/>
      <family val="2"/>
      <scheme val="major"/>
    </font>
    <font>
      <sz val="11"/>
      <name val="Calibri Light"/>
      <family val="2"/>
      <scheme val="major"/>
    </font>
    <font>
      <b/>
      <sz val="11"/>
      <name val="Calibri Light"/>
      <family val="2"/>
      <scheme val="major"/>
    </font>
    <font>
      <b/>
      <sz val="11"/>
      <color theme="1"/>
      <name val="Calibri Light"/>
      <family val="2"/>
      <scheme val="major"/>
    </font>
    <font>
      <sz val="9"/>
      <color theme="1"/>
      <name val="Calibri Light"/>
      <family val="2"/>
      <scheme val="major"/>
    </font>
    <font>
      <b/>
      <sz val="24"/>
      <color theme="0"/>
      <name val="Calibri Light"/>
      <family val="2"/>
      <scheme val="major"/>
    </font>
    <font>
      <b/>
      <u/>
      <sz val="11"/>
      <color theme="1"/>
      <name val="Calibri Light"/>
      <family val="2"/>
      <scheme val="major"/>
    </font>
    <font>
      <sz val="11"/>
      <color theme="0" tint="-0.249977111117893"/>
      <name val="Calibri Light"/>
      <family val="2"/>
      <scheme val="major"/>
    </font>
    <font>
      <u/>
      <sz val="11"/>
      <color theme="10"/>
      <name val="Calibri"/>
      <family val="2"/>
      <scheme val="minor"/>
    </font>
    <font>
      <sz val="11"/>
      <color theme="0" tint="-0.14999847407452621"/>
      <name val="Calibri Light"/>
      <family val="2"/>
      <scheme val="major"/>
    </font>
    <font>
      <i/>
      <sz val="11"/>
      <color theme="0" tint="-0.14999847407452621"/>
      <name val="Calibri Light"/>
      <family val="2"/>
      <scheme val="major"/>
    </font>
    <font>
      <i/>
      <sz val="11"/>
      <name val="Calibri Light"/>
      <family val="2"/>
      <scheme val="major"/>
    </font>
    <font>
      <b/>
      <sz val="11"/>
      <color theme="1"/>
      <name val="Calibri"/>
      <family val="2"/>
      <scheme val="minor"/>
    </font>
    <font>
      <i/>
      <sz val="11"/>
      <color theme="1"/>
      <name val="Calibri Light"/>
      <family val="2"/>
      <scheme val="major"/>
    </font>
    <font>
      <sz val="11"/>
      <color rgb="FFFF0000"/>
      <name val="Calibri"/>
      <family val="2"/>
      <scheme val="minor"/>
    </font>
    <font>
      <i/>
      <sz val="11"/>
      <color theme="1"/>
      <name val="Calibri"/>
      <family val="2"/>
      <scheme val="minor"/>
    </font>
    <font>
      <i/>
      <sz val="10"/>
      <color theme="1"/>
      <name val="Calibri Light"/>
      <family val="2"/>
      <scheme val="major"/>
    </font>
    <font>
      <b/>
      <sz val="9"/>
      <color indexed="81"/>
      <name val="Tahoma"/>
      <family val="2"/>
    </font>
    <font>
      <sz val="9"/>
      <color indexed="81"/>
      <name val="Tahoma"/>
      <family val="2"/>
    </font>
    <font>
      <b/>
      <sz val="11"/>
      <color rgb="FFFF0000"/>
      <name val="Calibri Light"/>
      <family val="2"/>
      <scheme val="major"/>
    </font>
    <font>
      <sz val="11"/>
      <color rgb="FFFF0000"/>
      <name val="Calibri Light"/>
      <family val="2"/>
      <scheme val="major"/>
    </font>
  </fonts>
  <fills count="15">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theme="0"/>
        <bgColor theme="4" tint="0.39991454817346722"/>
      </patternFill>
    </fill>
    <fill>
      <patternFill patternType="solid">
        <fgColor rgb="FFFFFF00"/>
        <bgColor indexed="64"/>
      </patternFill>
    </fill>
    <fill>
      <patternFill patternType="solid">
        <fgColor theme="0" tint="-0.14999847407452621"/>
        <bgColor indexed="64"/>
      </patternFill>
    </fill>
    <fill>
      <patternFill patternType="solid">
        <fgColor rgb="FFFF0000"/>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8"/>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0" tint="-0.249977111117893"/>
        <bgColor indexed="64"/>
      </patternFill>
    </fill>
  </fills>
  <borders count="54">
    <border>
      <left/>
      <right/>
      <top/>
      <bottom/>
      <diagonal/>
    </border>
    <border>
      <left/>
      <right/>
      <top style="thin">
        <color theme="0"/>
      </top>
      <bottom/>
      <diagonal/>
    </border>
    <border>
      <left/>
      <right style="thin">
        <color theme="0"/>
      </right>
      <top style="thin">
        <color theme="0"/>
      </top>
      <bottom/>
      <diagonal/>
    </border>
    <border>
      <left/>
      <right style="thin">
        <color theme="0"/>
      </right>
      <top/>
      <bottom style="thin">
        <color theme="0"/>
      </bottom>
      <diagonal/>
    </border>
    <border>
      <left style="thin">
        <color theme="0"/>
      </left>
      <right style="thin">
        <color theme="0"/>
      </right>
      <top/>
      <bottom/>
      <diagonal/>
    </border>
    <border>
      <left/>
      <right/>
      <top/>
      <bottom style="thin">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theme="0"/>
      </left>
      <right style="thin">
        <color theme="0"/>
      </right>
      <top style="medium">
        <color theme="0"/>
      </top>
      <bottom style="medium">
        <color theme="0"/>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
      <left style="medium">
        <color theme="4" tint="-0.249977111117893"/>
      </left>
      <right/>
      <top style="medium">
        <color theme="4" tint="-0.249977111117893"/>
      </top>
      <bottom/>
      <diagonal/>
    </border>
    <border>
      <left/>
      <right style="medium">
        <color theme="4" tint="-0.249977111117893"/>
      </right>
      <top style="medium">
        <color theme="4" tint="-0.249977111117893"/>
      </top>
      <bottom/>
      <diagonal/>
    </border>
    <border>
      <left style="medium">
        <color theme="8" tint="-0.249977111117893"/>
      </left>
      <right/>
      <top style="medium">
        <color theme="8" tint="-0.249977111117893"/>
      </top>
      <bottom/>
      <diagonal/>
    </border>
    <border>
      <left/>
      <right style="medium">
        <color theme="8" tint="-0.249977111117893"/>
      </right>
      <top style="medium">
        <color theme="8" tint="-0.249977111117893"/>
      </top>
      <bottom/>
      <diagonal/>
    </border>
    <border>
      <left style="medium">
        <color theme="8" tint="-0.249977111117893"/>
      </left>
      <right/>
      <top/>
      <bottom/>
      <diagonal/>
    </border>
    <border>
      <left/>
      <right style="medium">
        <color theme="8" tint="-0.249977111117893"/>
      </right>
      <top/>
      <bottom/>
      <diagonal/>
    </border>
    <border>
      <left style="medium">
        <color theme="8" tint="-0.249977111117893"/>
      </left>
      <right/>
      <top/>
      <bottom style="medium">
        <color theme="8" tint="-0.249977111117893"/>
      </bottom>
      <diagonal/>
    </border>
    <border>
      <left/>
      <right style="medium">
        <color theme="8" tint="-0.249977111117893"/>
      </right>
      <top/>
      <bottom style="medium">
        <color theme="8" tint="-0.249977111117893"/>
      </bottom>
      <diagonal/>
    </border>
    <border>
      <left/>
      <right/>
      <top style="medium">
        <color theme="8" tint="-0.249977111117893"/>
      </top>
      <bottom/>
      <diagonal/>
    </border>
    <border>
      <left/>
      <right/>
      <top/>
      <bottom style="medium">
        <color theme="8" tint="-0.249977111117893"/>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1"/>
      </top>
      <bottom/>
      <diagonal/>
    </border>
    <border>
      <left/>
      <right/>
      <top/>
      <bottom style="thin">
        <color theme="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166" fontId="1" fillId="0" borderId="0" applyFont="0" applyFill="0" applyBorder="0" applyAlignment="0" applyProtection="0"/>
    <xf numFmtId="0" fontId="13" fillId="0" borderId="0" applyNumberFormat="0" applyFill="0" applyBorder="0" applyAlignment="0" applyProtection="0"/>
    <xf numFmtId="165" fontId="1" fillId="0" borderId="0" applyFont="0" applyFill="0" applyBorder="0" applyAlignment="0" applyProtection="0"/>
    <xf numFmtId="9" fontId="1" fillId="0" borderId="0" applyFont="0" applyFill="0" applyBorder="0" applyAlignment="0" applyProtection="0"/>
  </cellStyleXfs>
  <cellXfs count="169">
    <xf numFmtId="0" fontId="0" fillId="0" borderId="0" xfId="0"/>
    <xf numFmtId="0" fontId="6" fillId="2" borderId="14" xfId="0" applyFont="1" applyFill="1" applyBorder="1"/>
    <xf numFmtId="0" fontId="2" fillId="3" borderId="0" xfId="0" applyFont="1" applyFill="1"/>
    <xf numFmtId="0" fontId="3" fillId="3" borderId="0" xfId="0" applyFont="1" applyFill="1"/>
    <xf numFmtId="0" fontId="4" fillId="2" borderId="0" xfId="0" applyFont="1" applyFill="1"/>
    <xf numFmtId="0" fontId="5" fillId="3" borderId="10" xfId="0" applyFont="1" applyFill="1" applyBorder="1"/>
    <xf numFmtId="0" fontId="3" fillId="3" borderId="11" xfId="0" applyFont="1" applyFill="1" applyBorder="1" applyAlignment="1">
      <alignment horizontal="center"/>
    </xf>
    <xf numFmtId="0" fontId="6" fillId="3" borderId="12" xfId="0" applyFont="1" applyFill="1" applyBorder="1"/>
    <xf numFmtId="0" fontId="4" fillId="3" borderId="11" xfId="0" applyFont="1" applyFill="1" applyBorder="1"/>
    <xf numFmtId="0" fontId="4" fillId="3" borderId="12" xfId="0" applyFont="1" applyFill="1" applyBorder="1"/>
    <xf numFmtId="0" fontId="5" fillId="3" borderId="11" xfId="0" applyFont="1" applyFill="1" applyBorder="1"/>
    <xf numFmtId="0" fontId="3" fillId="3" borderId="11" xfId="0" applyFont="1" applyFill="1" applyBorder="1"/>
    <xf numFmtId="0" fontId="3" fillId="3" borderId="12" xfId="0" applyFont="1" applyFill="1" applyBorder="1" applyAlignment="1">
      <alignment horizontal="right"/>
    </xf>
    <xf numFmtId="0" fontId="3" fillId="3" borderId="1" xfId="0" applyFont="1" applyFill="1" applyBorder="1" applyAlignment="1">
      <alignment horizontal="right"/>
    </xf>
    <xf numFmtId="0" fontId="3" fillId="3" borderId="2" xfId="0" applyFont="1" applyFill="1" applyBorder="1" applyAlignment="1">
      <alignment horizontal="right"/>
    </xf>
    <xf numFmtId="0" fontId="6" fillId="3" borderId="15" xfId="0" applyFont="1" applyFill="1" applyBorder="1"/>
    <xf numFmtId="0" fontId="3" fillId="3" borderId="17" xfId="0" applyFont="1" applyFill="1" applyBorder="1"/>
    <xf numFmtId="0" fontId="4" fillId="3" borderId="15" xfId="0" applyFont="1" applyFill="1" applyBorder="1"/>
    <xf numFmtId="0" fontId="4" fillId="3" borderId="16" xfId="0" applyFont="1" applyFill="1" applyBorder="1"/>
    <xf numFmtId="0" fontId="4" fillId="3" borderId="17" xfId="0" applyFont="1" applyFill="1" applyBorder="1"/>
    <xf numFmtId="0" fontId="3" fillId="3" borderId="0" xfId="0" applyFont="1" applyFill="1" applyAlignment="1">
      <alignment horizontal="right"/>
    </xf>
    <xf numFmtId="0" fontId="3" fillId="3" borderId="14" xfId="0" applyFont="1" applyFill="1" applyBorder="1" applyAlignment="1">
      <alignment horizontal="right"/>
    </xf>
    <xf numFmtId="0" fontId="3" fillId="3" borderId="5" xfId="0" applyFont="1" applyFill="1" applyBorder="1"/>
    <xf numFmtId="0" fontId="3" fillId="3" borderId="3" xfId="0" applyFont="1" applyFill="1" applyBorder="1"/>
    <xf numFmtId="0" fontId="7" fillId="3" borderId="13" xfId="0" applyFont="1" applyFill="1" applyBorder="1"/>
    <xf numFmtId="0" fontId="8" fillId="2" borderId="0" xfId="0" applyFont="1" applyFill="1"/>
    <xf numFmtId="0" fontId="5" fillId="3" borderId="18" xfId="0" applyFont="1" applyFill="1" applyBorder="1"/>
    <xf numFmtId="0" fontId="5" fillId="3" borderId="6" xfId="0" applyFont="1" applyFill="1" applyBorder="1"/>
    <xf numFmtId="0" fontId="5" fillId="3" borderId="7" xfId="0" applyFont="1" applyFill="1" applyBorder="1"/>
    <xf numFmtId="0" fontId="6" fillId="3" borderId="8" xfId="0" applyFont="1" applyFill="1" applyBorder="1"/>
    <xf numFmtId="0" fontId="6" fillId="3" borderId="9" xfId="0" applyFont="1" applyFill="1" applyBorder="1"/>
    <xf numFmtId="0" fontId="7" fillId="2" borderId="19" xfId="0" applyFont="1" applyFill="1" applyBorder="1"/>
    <xf numFmtId="0" fontId="4" fillId="2" borderId="4" xfId="0" applyFont="1" applyFill="1" applyBorder="1"/>
    <xf numFmtId="0" fontId="9" fillId="2" borderId="0" xfId="0" applyFont="1" applyFill="1"/>
    <xf numFmtId="0" fontId="6" fillId="2" borderId="0" xfId="0" applyFont="1" applyFill="1"/>
    <xf numFmtId="164" fontId="4" fillId="4" borderId="23" xfId="1" applyNumberFormat="1" applyFont="1" applyFill="1" applyBorder="1" applyProtection="1"/>
    <xf numFmtId="0" fontId="4" fillId="2" borderId="21" xfId="0" applyFont="1" applyFill="1" applyBorder="1"/>
    <xf numFmtId="0" fontId="4" fillId="4" borderId="0" xfId="0" applyFont="1" applyFill="1" applyProtection="1">
      <protection locked="0"/>
    </xf>
    <xf numFmtId="0" fontId="4" fillId="2" borderId="19" xfId="0" applyFont="1" applyFill="1" applyBorder="1"/>
    <xf numFmtId="164" fontId="4" fillId="4" borderId="22" xfId="1" applyNumberFormat="1" applyFont="1" applyFill="1" applyBorder="1" applyAlignment="1" applyProtection="1">
      <alignment horizontal="left"/>
    </xf>
    <xf numFmtId="166" fontId="4" fillId="2" borderId="0" xfId="0" applyNumberFormat="1" applyFont="1" applyFill="1"/>
    <xf numFmtId="164" fontId="6" fillId="4" borderId="24" xfId="1" applyNumberFormat="1" applyFont="1" applyFill="1" applyBorder="1" applyProtection="1">
      <protection locked="0"/>
    </xf>
    <xf numFmtId="164" fontId="6" fillId="4" borderId="25" xfId="1" applyNumberFormat="1" applyFont="1" applyFill="1" applyBorder="1" applyProtection="1">
      <protection locked="0"/>
    </xf>
    <xf numFmtId="164" fontId="6" fillId="4" borderId="26" xfId="1" applyNumberFormat="1" applyFont="1" applyFill="1" applyBorder="1" applyProtection="1">
      <protection locked="0"/>
    </xf>
    <xf numFmtId="164" fontId="6" fillId="4" borderId="27" xfId="1" applyNumberFormat="1" applyFont="1" applyFill="1" applyBorder="1" applyProtection="1">
      <protection locked="0"/>
    </xf>
    <xf numFmtId="167" fontId="6" fillId="4" borderId="26" xfId="1" applyNumberFormat="1" applyFont="1" applyFill="1" applyBorder="1" applyProtection="1">
      <protection locked="0"/>
    </xf>
    <xf numFmtId="167" fontId="6" fillId="4" borderId="27" xfId="1" applyNumberFormat="1" applyFont="1" applyFill="1" applyBorder="1" applyProtection="1">
      <protection locked="0"/>
    </xf>
    <xf numFmtId="168" fontId="6" fillId="4" borderId="26" xfId="1" applyNumberFormat="1" applyFont="1" applyFill="1" applyBorder="1" applyProtection="1">
      <protection locked="0"/>
    </xf>
    <xf numFmtId="168" fontId="6" fillId="4" borderId="27" xfId="1" applyNumberFormat="1" applyFont="1" applyFill="1" applyBorder="1" applyProtection="1">
      <protection locked="0"/>
    </xf>
    <xf numFmtId="164" fontId="6" fillId="4" borderId="28" xfId="1" applyNumberFormat="1" applyFont="1" applyFill="1" applyBorder="1" applyProtection="1">
      <protection locked="0"/>
    </xf>
    <xf numFmtId="164" fontId="6" fillId="4" borderId="29" xfId="1" applyNumberFormat="1" applyFont="1" applyFill="1" applyBorder="1" applyProtection="1">
      <protection locked="0"/>
    </xf>
    <xf numFmtId="0" fontId="4" fillId="4" borderId="24" xfId="0" applyFont="1" applyFill="1" applyBorder="1" applyProtection="1">
      <protection locked="0"/>
    </xf>
    <xf numFmtId="0" fontId="4" fillId="4" borderId="30" xfId="0" applyFont="1" applyFill="1" applyBorder="1" applyProtection="1">
      <protection locked="0"/>
    </xf>
    <xf numFmtId="0" fontId="4" fillId="4" borderId="25" xfId="0" applyFont="1" applyFill="1" applyBorder="1" applyProtection="1">
      <protection locked="0"/>
    </xf>
    <xf numFmtId="0" fontId="4" fillId="4" borderId="26" xfId="0" applyFont="1" applyFill="1" applyBorder="1" applyProtection="1">
      <protection locked="0"/>
    </xf>
    <xf numFmtId="0" fontId="4" fillId="4" borderId="27" xfId="0" applyFont="1" applyFill="1" applyBorder="1" applyProtection="1">
      <protection locked="0"/>
    </xf>
    <xf numFmtId="0" fontId="4" fillId="4" borderId="28" xfId="0" applyFont="1" applyFill="1" applyBorder="1" applyProtection="1">
      <protection locked="0"/>
    </xf>
    <xf numFmtId="0" fontId="4" fillId="4" borderId="31" xfId="0" applyFont="1" applyFill="1" applyBorder="1" applyProtection="1">
      <protection locked="0"/>
    </xf>
    <xf numFmtId="0" fontId="4" fillId="4" borderId="29" xfId="0" applyFont="1" applyFill="1" applyBorder="1" applyProtection="1">
      <protection locked="0"/>
    </xf>
    <xf numFmtId="0" fontId="6" fillId="3" borderId="0" xfId="0" applyFont="1" applyFill="1"/>
    <xf numFmtId="3" fontId="6" fillId="4" borderId="26" xfId="1" applyNumberFormat="1" applyFont="1" applyFill="1" applyBorder="1" applyProtection="1">
      <protection locked="0"/>
    </xf>
    <xf numFmtId="3" fontId="6" fillId="4" borderId="27" xfId="1" applyNumberFormat="1" applyFont="1" applyFill="1" applyBorder="1" applyProtection="1">
      <protection locked="0"/>
    </xf>
    <xf numFmtId="1" fontId="6" fillId="2" borderId="0" xfId="1" applyNumberFormat="1" applyFont="1" applyFill="1" applyBorder="1" applyProtection="1"/>
    <xf numFmtId="1" fontId="4" fillId="2" borderId="0" xfId="0" applyNumberFormat="1" applyFont="1" applyFill="1"/>
    <xf numFmtId="1" fontId="6" fillId="2" borderId="20" xfId="0" applyNumberFormat="1" applyFont="1" applyFill="1" applyBorder="1"/>
    <xf numFmtId="2" fontId="4" fillId="2" borderId="0" xfId="0" applyNumberFormat="1" applyFont="1" applyFill="1"/>
    <xf numFmtId="2" fontId="6" fillId="2" borderId="0" xfId="1" applyNumberFormat="1" applyFont="1" applyFill="1" applyBorder="1" applyProtection="1"/>
    <xf numFmtId="2" fontId="6" fillId="2" borderId="20" xfId="0" applyNumberFormat="1" applyFont="1" applyFill="1" applyBorder="1"/>
    <xf numFmtId="169" fontId="6" fillId="2" borderId="0" xfId="1" applyNumberFormat="1" applyFont="1" applyFill="1" applyBorder="1" applyProtection="1"/>
    <xf numFmtId="170" fontId="6" fillId="2" borderId="0" xfId="1" applyNumberFormat="1" applyFont="1" applyFill="1" applyBorder="1" applyProtection="1"/>
    <xf numFmtId="0" fontId="4" fillId="2" borderId="32" xfId="0" applyFont="1" applyFill="1" applyBorder="1"/>
    <xf numFmtId="0" fontId="10" fillId="3" borderId="0" xfId="0" applyFont="1" applyFill="1"/>
    <xf numFmtId="9" fontId="4" fillId="2" borderId="0" xfId="0" applyNumberFormat="1" applyFont="1" applyFill="1"/>
    <xf numFmtId="0" fontId="11" fillId="2" borderId="0" xfId="0" applyFont="1" applyFill="1"/>
    <xf numFmtId="0" fontId="10" fillId="2" borderId="0" xfId="0" applyFont="1" applyFill="1"/>
    <xf numFmtId="0" fontId="8" fillId="2" borderId="33" xfId="0" applyFont="1" applyFill="1" applyBorder="1"/>
    <xf numFmtId="0" fontId="8" fillId="2" borderId="34" xfId="0" applyFont="1" applyFill="1" applyBorder="1"/>
    <xf numFmtId="0" fontId="8" fillId="2" borderId="35" xfId="0" applyFont="1" applyFill="1" applyBorder="1"/>
    <xf numFmtId="0" fontId="4" fillId="2" borderId="36" xfId="0" applyFont="1" applyFill="1" applyBorder="1"/>
    <xf numFmtId="0" fontId="4" fillId="2" borderId="37" xfId="0" applyFont="1" applyFill="1" applyBorder="1"/>
    <xf numFmtId="0" fontId="4" fillId="2" borderId="38" xfId="0" applyFont="1" applyFill="1" applyBorder="1"/>
    <xf numFmtId="0" fontId="4" fillId="2" borderId="39" xfId="0" applyFont="1" applyFill="1" applyBorder="1"/>
    <xf numFmtId="0" fontId="4" fillId="2" borderId="40" xfId="0" applyFont="1" applyFill="1" applyBorder="1"/>
    <xf numFmtId="0" fontId="4" fillId="6" borderId="0" xfId="0" applyFont="1" applyFill="1"/>
    <xf numFmtId="0" fontId="12" fillId="2" borderId="0" xfId="0" applyFont="1" applyFill="1"/>
    <xf numFmtId="0" fontId="4" fillId="2" borderId="0" xfId="0" applyFont="1" applyFill="1" applyAlignment="1">
      <alignment horizontal="center"/>
    </xf>
    <xf numFmtId="0" fontId="13" fillId="2" borderId="0" xfId="2" applyFill="1"/>
    <xf numFmtId="165" fontId="4" fillId="2" borderId="0" xfId="3" applyFont="1" applyFill="1"/>
    <xf numFmtId="166" fontId="4" fillId="2" borderId="0" xfId="1" applyFont="1" applyFill="1" applyBorder="1"/>
    <xf numFmtId="166" fontId="4" fillId="2" borderId="0" xfId="1" applyFont="1" applyFill="1"/>
    <xf numFmtId="174" fontId="4" fillId="2" borderId="0" xfId="0" applyNumberFormat="1" applyFont="1" applyFill="1"/>
    <xf numFmtId="0" fontId="14" fillId="2" borderId="0" xfId="0" applyFont="1" applyFill="1"/>
    <xf numFmtId="0" fontId="15" fillId="2" borderId="0" xfId="0" applyFont="1" applyFill="1"/>
    <xf numFmtId="0" fontId="15" fillId="2" borderId="0" xfId="0" quotePrefix="1" applyFont="1" applyFill="1"/>
    <xf numFmtId="176" fontId="15" fillId="2" borderId="0" xfId="0" applyNumberFormat="1" applyFont="1" applyFill="1"/>
    <xf numFmtId="9" fontId="15" fillId="2" borderId="0" xfId="0" applyNumberFormat="1" applyFont="1" applyFill="1"/>
    <xf numFmtId="9" fontId="15" fillId="2" borderId="0" xfId="0" quotePrefix="1" applyNumberFormat="1" applyFont="1" applyFill="1"/>
    <xf numFmtId="9" fontId="4" fillId="2" borderId="0" xfId="4" applyFont="1" applyFill="1" applyBorder="1"/>
    <xf numFmtId="0" fontId="16" fillId="2" borderId="0" xfId="0" applyFont="1" applyFill="1"/>
    <xf numFmtId="0" fontId="17" fillId="0" borderId="0" xfId="0" applyFont="1"/>
    <xf numFmtId="169" fontId="0" fillId="0" borderId="0" xfId="0" applyNumberFormat="1"/>
    <xf numFmtId="0" fontId="0" fillId="5" borderId="0" xfId="0" applyFill="1"/>
    <xf numFmtId="169" fontId="0" fillId="7" borderId="0" xfId="0" applyNumberFormat="1" applyFill="1"/>
    <xf numFmtId="0" fontId="0" fillId="7" borderId="0" xfId="0" applyFill="1"/>
    <xf numFmtId="0" fontId="17" fillId="8" borderId="0" xfId="0" applyFont="1" applyFill="1"/>
    <xf numFmtId="169" fontId="0" fillId="8" borderId="0" xfId="0" applyNumberFormat="1" applyFill="1"/>
    <xf numFmtId="0" fontId="0" fillId="9" borderId="0" xfId="0" applyFill="1"/>
    <xf numFmtId="0" fontId="17" fillId="11" borderId="0" xfId="0" applyFont="1" applyFill="1"/>
    <xf numFmtId="0" fontId="0" fillId="0" borderId="41" xfId="0" applyBorder="1"/>
    <xf numFmtId="0" fontId="0" fillId="0" borderId="42" xfId="0" applyBorder="1"/>
    <xf numFmtId="0" fontId="0" fillId="0" borderId="43" xfId="0" applyBorder="1"/>
    <xf numFmtId="0" fontId="0" fillId="0" borderId="44" xfId="0" applyBorder="1"/>
    <xf numFmtId="0" fontId="0" fillId="0" borderId="45" xfId="0" applyBorder="1"/>
    <xf numFmtId="0" fontId="0" fillId="0" borderId="46" xfId="0" applyBorder="1"/>
    <xf numFmtId="0" fontId="0" fillId="0" borderId="47" xfId="0" applyBorder="1"/>
    <xf numFmtId="0" fontId="0" fillId="0" borderId="48" xfId="0" applyBorder="1"/>
    <xf numFmtId="0" fontId="4" fillId="12" borderId="0" xfId="0" applyFont="1" applyFill="1"/>
    <xf numFmtId="0" fontId="4" fillId="13" borderId="0" xfId="0" applyFont="1" applyFill="1"/>
    <xf numFmtId="9" fontId="4" fillId="2" borderId="0" xfId="4" applyFont="1" applyFill="1"/>
    <xf numFmtId="0" fontId="13" fillId="5" borderId="0" xfId="2" applyFill="1"/>
    <xf numFmtId="0" fontId="18" fillId="2" borderId="0" xfId="0" applyFont="1" applyFill="1"/>
    <xf numFmtId="0" fontId="19" fillId="7" borderId="0" xfId="0" applyFont="1" applyFill="1"/>
    <xf numFmtId="0" fontId="0" fillId="2" borderId="0" xfId="0" applyFill="1"/>
    <xf numFmtId="0" fontId="0" fillId="2" borderId="0" xfId="0" applyFill="1" applyAlignment="1">
      <alignment horizontal="center"/>
    </xf>
    <xf numFmtId="2" fontId="0" fillId="2" borderId="0" xfId="0" applyNumberFormat="1" applyFill="1"/>
    <xf numFmtId="177" fontId="0" fillId="2" borderId="0" xfId="0" applyNumberFormat="1" applyFill="1"/>
    <xf numFmtId="0" fontId="17" fillId="2" borderId="0" xfId="0" applyFont="1" applyFill="1"/>
    <xf numFmtId="177" fontId="17" fillId="2" borderId="0" xfId="0" applyNumberFormat="1" applyFont="1" applyFill="1"/>
    <xf numFmtId="0" fontId="0" fillId="2" borderId="50" xfId="0" applyFill="1" applyBorder="1"/>
    <xf numFmtId="0" fontId="20" fillId="2" borderId="0" xfId="0" applyFont="1" applyFill="1"/>
    <xf numFmtId="0" fontId="21" fillId="2" borderId="0" xfId="0" applyFont="1" applyFill="1"/>
    <xf numFmtId="9" fontId="0" fillId="2" borderId="0" xfId="4" applyFont="1" applyFill="1"/>
    <xf numFmtId="9" fontId="0" fillId="2" borderId="0" xfId="0" applyNumberFormat="1" applyFill="1"/>
    <xf numFmtId="0" fontId="4" fillId="14" borderId="0" xfId="0" applyFont="1" applyFill="1"/>
    <xf numFmtId="174" fontId="0" fillId="0" borderId="0" xfId="0" applyNumberFormat="1"/>
    <xf numFmtId="0" fontId="19" fillId="0" borderId="41" xfId="0" applyFont="1" applyBorder="1"/>
    <xf numFmtId="0" fontId="19" fillId="0" borderId="42" xfId="0" applyFont="1" applyBorder="1"/>
    <xf numFmtId="0" fontId="19" fillId="0" borderId="44" xfId="0" applyFont="1" applyBorder="1"/>
    <xf numFmtId="0" fontId="19" fillId="0" borderId="0" xfId="0" applyFont="1"/>
    <xf numFmtId="0" fontId="20" fillId="0" borderId="0" xfId="0" applyFont="1"/>
    <xf numFmtId="0" fontId="0" fillId="0" borderId="0" xfId="0" quotePrefix="1"/>
    <xf numFmtId="9" fontId="0" fillId="0" borderId="0" xfId="0" applyNumberFormat="1"/>
    <xf numFmtId="0" fontId="0" fillId="8" borderId="0" xfId="0" applyFill="1"/>
    <xf numFmtId="0" fontId="4" fillId="2" borderId="33" xfId="0" applyFont="1" applyFill="1" applyBorder="1"/>
    <xf numFmtId="0" fontId="4" fillId="2" borderId="34" xfId="0" applyFont="1" applyFill="1" applyBorder="1"/>
    <xf numFmtId="0" fontId="4" fillId="2" borderId="35" xfId="0" applyFont="1" applyFill="1" applyBorder="1"/>
    <xf numFmtId="0" fontId="0" fillId="14" borderId="0" xfId="0" applyFill="1"/>
    <xf numFmtId="0" fontId="0" fillId="2" borderId="0" xfId="0" applyFill="1" applyAlignment="1">
      <alignment horizontal="center"/>
    </xf>
    <xf numFmtId="0" fontId="0" fillId="2" borderId="50" xfId="0" applyFill="1" applyBorder="1" applyAlignment="1">
      <alignment horizontal="center"/>
    </xf>
    <xf numFmtId="0" fontId="0" fillId="2" borderId="49" xfId="0" applyFill="1" applyBorder="1" applyAlignment="1">
      <alignment horizontal="center"/>
    </xf>
    <xf numFmtId="0" fontId="24" fillId="10" borderId="51" xfId="0" applyFont="1" applyFill="1" applyBorder="1"/>
    <xf numFmtId="0" fontId="24" fillId="10" borderId="52" xfId="0" applyFont="1" applyFill="1" applyBorder="1"/>
    <xf numFmtId="0" fontId="24" fillId="10" borderId="53" xfId="0" applyFont="1" applyFill="1" applyBorder="1"/>
    <xf numFmtId="0" fontId="25" fillId="2" borderId="36" xfId="0" applyFont="1" applyFill="1" applyBorder="1"/>
    <xf numFmtId="0" fontId="25" fillId="14" borderId="0" xfId="0" applyFont="1" applyFill="1"/>
    <xf numFmtId="0" fontId="25" fillId="14" borderId="37" xfId="0" applyFont="1" applyFill="1" applyBorder="1"/>
    <xf numFmtId="0" fontId="25" fillId="14" borderId="36" xfId="0" applyFont="1" applyFill="1" applyBorder="1"/>
    <xf numFmtId="0" fontId="25" fillId="2" borderId="41" xfId="0" applyFont="1" applyFill="1" applyBorder="1"/>
    <xf numFmtId="0" fontId="25" fillId="6" borderId="42" xfId="0" applyFont="1" applyFill="1" applyBorder="1"/>
    <xf numFmtId="0" fontId="25" fillId="6" borderId="43" xfId="0" applyFont="1" applyFill="1" applyBorder="1"/>
    <xf numFmtId="0" fontId="25" fillId="2" borderId="44" xfId="0" applyFont="1" applyFill="1" applyBorder="1"/>
    <xf numFmtId="0" fontId="25" fillId="6" borderId="0" xfId="0" applyFont="1" applyFill="1"/>
    <xf numFmtId="0" fontId="25" fillId="6" borderId="45" xfId="0" applyFont="1" applyFill="1" applyBorder="1"/>
    <xf numFmtId="0" fontId="25" fillId="2" borderId="46" xfId="0" applyFont="1" applyFill="1" applyBorder="1"/>
    <xf numFmtId="0" fontId="25" fillId="6" borderId="47" xfId="0" applyFont="1" applyFill="1" applyBorder="1"/>
    <xf numFmtId="0" fontId="25" fillId="6" borderId="48" xfId="0" applyFont="1" applyFill="1" applyBorder="1"/>
    <xf numFmtId="0" fontId="24" fillId="5" borderId="32" xfId="0" applyFont="1" applyFill="1" applyBorder="1" applyAlignment="1">
      <alignment horizontal="center"/>
    </xf>
    <xf numFmtId="0" fontId="13" fillId="0" borderId="0" xfId="2" applyAlignment="1"/>
    <xf numFmtId="0" fontId="25" fillId="5" borderId="0" xfId="0" applyFont="1" applyFill="1"/>
  </cellXfs>
  <cellStyles count="5">
    <cellStyle name="Comma" xfId="1" builtinId="3"/>
    <cellStyle name="Currency" xfId="3" builtinId="4"/>
    <cellStyle name="Hyperlink" xfId="2" builtinId="8"/>
    <cellStyle name="Normal" xfId="0" builtinId="0"/>
    <cellStyle name="Percent" xfId="4" builtinId="5"/>
  </cellStyles>
  <dxfs count="48">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alignment horizontal="center" vertical="bottom" textRotation="0" wrapText="0" indent="0" justifyLastLine="0" shrinkToFit="0" readingOrder="0"/>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alignment horizontal="center" vertical="bottom" textRotation="0" wrapText="0" indent="0" justifyLastLine="0" shrinkToFit="0" readingOrder="0"/>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alignment horizontal="center" vertical="bottom" textRotation="0" wrapText="0" indent="0" justifyLastLine="0" shrinkToFit="0" readingOrder="0"/>
    </dxf>
    <dxf>
      <fill>
        <patternFill patternType="solid">
          <fgColor indexed="64"/>
          <bgColor theme="0"/>
        </patternFill>
      </fill>
    </dxf>
    <dxf>
      <fill>
        <patternFill patternType="solid">
          <fgColor indexed="64"/>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'Parameter Input'!$I$53</c:f>
              <c:strCache>
                <c:ptCount val="1"/>
                <c:pt idx="0">
                  <c:v>B</c:v>
                </c:pt>
              </c:strCache>
            </c:strRef>
          </c:tx>
          <c:spPr>
            <a:ln w="28575" cap="rnd">
              <a:solidFill>
                <a:schemeClr val="accent1"/>
              </a:solidFill>
              <a:round/>
            </a:ln>
            <a:effectLst/>
          </c:spPr>
          <c:marker>
            <c:symbol val="none"/>
          </c:marker>
          <c:cat>
            <c:numRef>
              <c:f>'Parameter Input'!$J$52:$AK$52</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'Parameter Input'!$J$53:$AK$53</c:f>
              <c:numCache>
                <c:formatCode>General</c:formatCode>
                <c:ptCount val="28"/>
                <c:pt idx="0">
                  <c:v>95.2</c:v>
                </c:pt>
                <c:pt idx="1">
                  <c:v>117.6</c:v>
                </c:pt>
                <c:pt idx="2">
                  <c:v>138.19999999999999</c:v>
                </c:pt>
                <c:pt idx="3">
                  <c:v>158.69999999999999</c:v>
                </c:pt>
                <c:pt idx="4">
                  <c:v>179.3</c:v>
                </c:pt>
                <c:pt idx="5">
                  <c:v>199.8</c:v>
                </c:pt>
                <c:pt idx="6">
                  <c:v>220.4</c:v>
                </c:pt>
                <c:pt idx="7">
                  <c:v>241</c:v>
                </c:pt>
                <c:pt idx="8">
                  <c:v>241</c:v>
                </c:pt>
                <c:pt idx="9">
                  <c:v>241</c:v>
                </c:pt>
                <c:pt idx="10">
                  <c:v>241</c:v>
                </c:pt>
                <c:pt idx="11">
                  <c:v>241</c:v>
                </c:pt>
                <c:pt idx="12">
                  <c:v>241</c:v>
                </c:pt>
                <c:pt idx="13">
                  <c:v>241</c:v>
                </c:pt>
                <c:pt idx="14">
                  <c:v>241</c:v>
                </c:pt>
                <c:pt idx="15">
                  <c:v>241</c:v>
                </c:pt>
                <c:pt idx="16">
                  <c:v>241</c:v>
                </c:pt>
                <c:pt idx="17">
                  <c:v>241</c:v>
                </c:pt>
                <c:pt idx="18">
                  <c:v>241</c:v>
                </c:pt>
                <c:pt idx="19">
                  <c:v>241</c:v>
                </c:pt>
                <c:pt idx="20">
                  <c:v>241</c:v>
                </c:pt>
                <c:pt idx="21">
                  <c:v>241</c:v>
                </c:pt>
                <c:pt idx="22">
                  <c:v>241</c:v>
                </c:pt>
                <c:pt idx="23">
                  <c:v>241</c:v>
                </c:pt>
                <c:pt idx="24">
                  <c:v>241</c:v>
                </c:pt>
                <c:pt idx="25">
                  <c:v>241</c:v>
                </c:pt>
                <c:pt idx="26">
                  <c:v>241</c:v>
                </c:pt>
                <c:pt idx="27">
                  <c:v>241</c:v>
                </c:pt>
              </c:numCache>
            </c:numRef>
          </c:val>
          <c:smooth val="0"/>
          <c:extLst>
            <c:ext xmlns:c16="http://schemas.microsoft.com/office/drawing/2014/chart" uri="{C3380CC4-5D6E-409C-BE32-E72D297353CC}">
              <c16:uniqueId val="{00000000-0E87-4887-A3E7-0F8108AE542F}"/>
            </c:ext>
          </c:extLst>
        </c:ser>
        <c:ser>
          <c:idx val="2"/>
          <c:order val="2"/>
          <c:tx>
            <c:strRef>
              <c:f>'Parameter Input'!$I$55</c:f>
              <c:strCache>
                <c:ptCount val="1"/>
                <c:pt idx="0">
                  <c:v>O</c:v>
                </c:pt>
              </c:strCache>
            </c:strRef>
          </c:tx>
          <c:spPr>
            <a:ln w="28575" cap="rnd">
              <a:solidFill>
                <a:schemeClr val="accent3"/>
              </a:solidFill>
              <a:round/>
            </a:ln>
            <a:effectLst/>
          </c:spPr>
          <c:marker>
            <c:symbol val="none"/>
          </c:marker>
          <c:cat>
            <c:numRef>
              <c:f>'Parameter Input'!$J$52:$AK$52</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'Parameter Input'!$J$55:$AK$55</c:f>
              <c:numCache>
                <c:formatCode>General</c:formatCode>
                <c:ptCount val="28"/>
                <c:pt idx="0">
                  <c:v>147</c:v>
                </c:pt>
                <c:pt idx="1">
                  <c:v>167.9</c:v>
                </c:pt>
                <c:pt idx="2">
                  <c:v>191.8</c:v>
                </c:pt>
                <c:pt idx="3">
                  <c:v>209.6</c:v>
                </c:pt>
                <c:pt idx="4">
                  <c:v>229.1</c:v>
                </c:pt>
                <c:pt idx="5">
                  <c:v>250.4</c:v>
                </c:pt>
                <c:pt idx="6">
                  <c:v>273.60000000000002</c:v>
                </c:pt>
                <c:pt idx="7">
                  <c:v>299</c:v>
                </c:pt>
                <c:pt idx="8">
                  <c:v>326.8</c:v>
                </c:pt>
                <c:pt idx="9">
                  <c:v>357.2</c:v>
                </c:pt>
                <c:pt idx="10">
                  <c:v>390.4</c:v>
                </c:pt>
                <c:pt idx="11">
                  <c:v>426.7</c:v>
                </c:pt>
                <c:pt idx="12">
                  <c:v>466.4</c:v>
                </c:pt>
                <c:pt idx="13">
                  <c:v>509.8</c:v>
                </c:pt>
                <c:pt idx="14">
                  <c:v>557.20000000000005</c:v>
                </c:pt>
                <c:pt idx="15">
                  <c:v>609.1</c:v>
                </c:pt>
                <c:pt idx="16">
                  <c:v>665.7</c:v>
                </c:pt>
                <c:pt idx="17">
                  <c:v>727.7</c:v>
                </c:pt>
                <c:pt idx="18">
                  <c:v>758.8</c:v>
                </c:pt>
                <c:pt idx="19">
                  <c:v>791.2</c:v>
                </c:pt>
                <c:pt idx="20">
                  <c:v>825</c:v>
                </c:pt>
                <c:pt idx="21">
                  <c:v>860.3</c:v>
                </c:pt>
                <c:pt idx="22">
                  <c:v>897.1</c:v>
                </c:pt>
                <c:pt idx="23">
                  <c:v>935.5</c:v>
                </c:pt>
                <c:pt idx="24">
                  <c:v>975.5</c:v>
                </c:pt>
                <c:pt idx="25">
                  <c:v>1017.2</c:v>
                </c:pt>
                <c:pt idx="26">
                  <c:v>1060.7</c:v>
                </c:pt>
                <c:pt idx="27">
                  <c:v>1106</c:v>
                </c:pt>
              </c:numCache>
            </c:numRef>
          </c:val>
          <c:smooth val="0"/>
          <c:extLst>
            <c:ext xmlns:c16="http://schemas.microsoft.com/office/drawing/2014/chart" uri="{C3380CC4-5D6E-409C-BE32-E72D297353CC}">
              <c16:uniqueId val="{00000002-0E87-4887-A3E7-0F8108AE542F}"/>
            </c:ext>
          </c:extLst>
        </c:ser>
        <c:ser>
          <c:idx val="3"/>
          <c:order val="3"/>
          <c:tx>
            <c:strRef>
              <c:f>'Parameter Input'!$I$56</c:f>
              <c:strCache>
                <c:ptCount val="1"/>
                <c:pt idx="0">
                  <c:v>I</c:v>
                </c:pt>
              </c:strCache>
            </c:strRef>
          </c:tx>
          <c:spPr>
            <a:ln w="28575" cap="rnd">
              <a:solidFill>
                <a:schemeClr val="accent4"/>
              </a:solidFill>
              <a:round/>
            </a:ln>
            <a:effectLst/>
          </c:spPr>
          <c:marker>
            <c:symbol val="none"/>
          </c:marker>
          <c:cat>
            <c:numRef>
              <c:f>'Parameter Input'!$J$52:$AK$52</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'Parameter Input'!$J$56:$AK$56</c:f>
              <c:numCache>
                <c:formatCode>General</c:formatCode>
                <c:ptCount val="28"/>
                <c:pt idx="0">
                  <c:v>121.1</c:v>
                </c:pt>
                <c:pt idx="1">
                  <c:v>142.75</c:v>
                </c:pt>
                <c:pt idx="2">
                  <c:v>165</c:v>
                </c:pt>
                <c:pt idx="3">
                  <c:v>184.14999999999998</c:v>
                </c:pt>
                <c:pt idx="4">
                  <c:v>204.2</c:v>
                </c:pt>
                <c:pt idx="5">
                  <c:v>225.10000000000002</c:v>
                </c:pt>
                <c:pt idx="6">
                  <c:v>247</c:v>
                </c:pt>
                <c:pt idx="7">
                  <c:v>270</c:v>
                </c:pt>
                <c:pt idx="8">
                  <c:v>283.89999999999998</c:v>
                </c:pt>
                <c:pt idx="9">
                  <c:v>299.10000000000002</c:v>
                </c:pt>
                <c:pt idx="10">
                  <c:v>315.7</c:v>
                </c:pt>
                <c:pt idx="11">
                  <c:v>333.85</c:v>
                </c:pt>
                <c:pt idx="12">
                  <c:v>353.7</c:v>
                </c:pt>
                <c:pt idx="13">
                  <c:v>375.4</c:v>
                </c:pt>
                <c:pt idx="14">
                  <c:v>399.1</c:v>
                </c:pt>
                <c:pt idx="15">
                  <c:v>425.05</c:v>
                </c:pt>
                <c:pt idx="16">
                  <c:v>453.35</c:v>
                </c:pt>
                <c:pt idx="17">
                  <c:v>484.35</c:v>
                </c:pt>
                <c:pt idx="18">
                  <c:v>499.9</c:v>
                </c:pt>
                <c:pt idx="19">
                  <c:v>516.1</c:v>
                </c:pt>
                <c:pt idx="20">
                  <c:v>533</c:v>
                </c:pt>
                <c:pt idx="21">
                  <c:v>550.65</c:v>
                </c:pt>
                <c:pt idx="22">
                  <c:v>569.04999999999995</c:v>
                </c:pt>
                <c:pt idx="23">
                  <c:v>588.25</c:v>
                </c:pt>
                <c:pt idx="24">
                  <c:v>608.25</c:v>
                </c:pt>
                <c:pt idx="25">
                  <c:v>629.1</c:v>
                </c:pt>
                <c:pt idx="26">
                  <c:v>650.85</c:v>
                </c:pt>
                <c:pt idx="27">
                  <c:v>673.5</c:v>
                </c:pt>
              </c:numCache>
            </c:numRef>
          </c:val>
          <c:smooth val="0"/>
          <c:extLst>
            <c:ext xmlns:c16="http://schemas.microsoft.com/office/drawing/2014/chart" uri="{C3380CC4-5D6E-409C-BE32-E72D297353CC}">
              <c16:uniqueId val="{00000003-0E87-4887-A3E7-0F8108AE542F}"/>
            </c:ext>
          </c:extLst>
        </c:ser>
        <c:dLbls>
          <c:showLegendKey val="0"/>
          <c:showVal val="0"/>
          <c:showCatName val="0"/>
          <c:showSerName val="0"/>
          <c:showPercent val="0"/>
          <c:showBubbleSize val="0"/>
        </c:dLbls>
        <c:smooth val="0"/>
        <c:axId val="845590152"/>
        <c:axId val="845586216"/>
        <c:extLst>
          <c:ext xmlns:c15="http://schemas.microsoft.com/office/drawing/2012/chart" uri="{02D57815-91ED-43cb-92C2-25804820EDAC}">
            <c15:filteredLineSeries>
              <c15:ser>
                <c:idx val="1"/>
                <c:order val="1"/>
                <c:tx>
                  <c:strRef>
                    <c:extLst>
                      <c:ext uri="{02D57815-91ED-43cb-92C2-25804820EDAC}">
                        <c15:formulaRef>
                          <c15:sqref>'Parameter Input'!$I$54</c15:sqref>
                        </c15:formulaRef>
                      </c:ext>
                    </c:extLst>
                    <c:strCache>
                      <c:ptCount val="1"/>
                      <c:pt idx="0">
                        <c:v>P</c:v>
                      </c:pt>
                    </c:strCache>
                  </c:strRef>
                </c:tx>
                <c:spPr>
                  <a:ln w="28575" cap="rnd">
                    <a:solidFill>
                      <a:schemeClr val="accent2"/>
                    </a:solidFill>
                    <a:round/>
                  </a:ln>
                  <a:effectLst/>
                </c:spPr>
                <c:marker>
                  <c:symbol val="none"/>
                </c:marker>
                <c:cat>
                  <c:numRef>
                    <c:extLst>
                      <c:ext uri="{02D57815-91ED-43cb-92C2-25804820EDAC}">
                        <c15:formulaRef>
                          <c15:sqref>'Parameter Input'!$J$52:$AK$52</c15:sqref>
                        </c15:formulaRef>
                      </c:ext>
                    </c:extLst>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extLst>
                      <c:ext uri="{02D57815-91ED-43cb-92C2-25804820EDAC}">
                        <c15:formulaRef>
                          <c15:sqref>'Parameter Input'!$J$54:$AK$54</c15:sqref>
                        </c15:formulaRef>
                      </c:ext>
                    </c:extLst>
                    <c:numCache>
                      <c:formatCode>General</c:formatCode>
                      <c:ptCount val="28"/>
                      <c:pt idx="0">
                        <c:v>59.8</c:v>
                      </c:pt>
                      <c:pt idx="1">
                        <c:v>62.7</c:v>
                      </c:pt>
                      <c:pt idx="2">
                        <c:v>65.400000000000006</c:v>
                      </c:pt>
                      <c:pt idx="3">
                        <c:v>68.599999999999994</c:v>
                      </c:pt>
                      <c:pt idx="4">
                        <c:v>70.3</c:v>
                      </c:pt>
                      <c:pt idx="5">
                        <c:v>72.099999999999994</c:v>
                      </c:pt>
                      <c:pt idx="6">
                        <c:v>73.900000000000006</c:v>
                      </c:pt>
                      <c:pt idx="7">
                        <c:v>75.7</c:v>
                      </c:pt>
                      <c:pt idx="8">
                        <c:v>78.7</c:v>
                      </c:pt>
                      <c:pt idx="9">
                        <c:v>81.900000000000006</c:v>
                      </c:pt>
                      <c:pt idx="10">
                        <c:v>85.2</c:v>
                      </c:pt>
                      <c:pt idx="11">
                        <c:v>88.6</c:v>
                      </c:pt>
                      <c:pt idx="12">
                        <c:v>92.1</c:v>
                      </c:pt>
                      <c:pt idx="13">
                        <c:v>95.8</c:v>
                      </c:pt>
                      <c:pt idx="14">
                        <c:v>99.6</c:v>
                      </c:pt>
                      <c:pt idx="15">
                        <c:v>103.6</c:v>
                      </c:pt>
                      <c:pt idx="16">
                        <c:v>107.8</c:v>
                      </c:pt>
                      <c:pt idx="17">
                        <c:v>112.1</c:v>
                      </c:pt>
                      <c:pt idx="18">
                        <c:v>116.6</c:v>
                      </c:pt>
                      <c:pt idx="19">
                        <c:v>121.2</c:v>
                      </c:pt>
                      <c:pt idx="20">
                        <c:v>126.1</c:v>
                      </c:pt>
                      <c:pt idx="21">
                        <c:v>131.1</c:v>
                      </c:pt>
                      <c:pt idx="22">
                        <c:v>136.4</c:v>
                      </c:pt>
                      <c:pt idx="23">
                        <c:v>141.80000000000001</c:v>
                      </c:pt>
                      <c:pt idx="24">
                        <c:v>147.5</c:v>
                      </c:pt>
                      <c:pt idx="25">
                        <c:v>153.4</c:v>
                      </c:pt>
                      <c:pt idx="26">
                        <c:v>159.5</c:v>
                      </c:pt>
                      <c:pt idx="27">
                        <c:v>165.9</c:v>
                      </c:pt>
                    </c:numCache>
                  </c:numRef>
                </c:val>
                <c:smooth val="0"/>
                <c:extLst>
                  <c:ext xmlns:c16="http://schemas.microsoft.com/office/drawing/2014/chart" uri="{C3380CC4-5D6E-409C-BE32-E72D297353CC}">
                    <c16:uniqueId val="{00000001-0E87-4887-A3E7-0F8108AE542F}"/>
                  </c:ext>
                </c:extLst>
              </c15:ser>
            </c15:filteredLineSeries>
          </c:ext>
        </c:extLst>
      </c:lineChart>
      <c:catAx>
        <c:axId val="845590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45586216"/>
        <c:crosses val="autoZero"/>
        <c:auto val="1"/>
        <c:lblAlgn val="ctr"/>
        <c:lblOffset val="100"/>
        <c:tickLblSkip val="3"/>
        <c:noMultiLvlLbl val="0"/>
      </c:catAx>
      <c:valAx>
        <c:axId val="845586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45590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208197133897806"/>
          <c:y val="6.8973672047458884E-2"/>
          <c:w val="0.52714861301422922"/>
          <c:h val="0.82222360393995619"/>
        </c:manualLayout>
      </c:layout>
      <c:lineChart>
        <c:grouping val="standard"/>
        <c:varyColors val="0"/>
        <c:ser>
          <c:idx val="0"/>
          <c:order val="0"/>
          <c:tx>
            <c:strRef>
              <c:f>Template_Cost_Calculator!$A$11</c:f>
              <c:strCache>
                <c:ptCount val="1"/>
                <c:pt idx="0">
                  <c:v>Capex vehicle</c:v>
                </c:pt>
              </c:strCache>
            </c:strRef>
          </c:tx>
          <c:spPr>
            <a:ln w="28575" cap="rnd">
              <a:solidFill>
                <a:schemeClr val="accent1"/>
              </a:solidFill>
              <a:round/>
            </a:ln>
            <a:effectLst/>
          </c:spPr>
          <c:marker>
            <c:symbol val="none"/>
          </c:marker>
          <c:cat>
            <c:numRef>
              <c:f>Template_Cost_Calculator!$Q$10:$AR$10</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Template_Cost_Calculator!$Q$11:$AR$11</c:f>
              <c:numCache>
                <c:formatCode>General</c:formatCode>
                <c:ptCount val="28"/>
                <c:pt idx="0">
                  <c:v>0.98870000318069773</c:v>
                </c:pt>
                <c:pt idx="1">
                  <c:v>0.97864686803622136</c:v>
                </c:pt>
                <c:pt idx="2">
                  <c:v>0.95982538467280665</c:v>
                </c:pt>
                <c:pt idx="3">
                  <c:v>0.92512705484006208</c:v>
                </c:pt>
                <c:pt idx="4">
                  <c:v>0.86323195930299401</c:v>
                </c:pt>
                <c:pt idx="5">
                  <c:v>0.76000101689477173</c:v>
                </c:pt>
                <c:pt idx="6">
                  <c:v>0.60815171131295576</c:v>
                </c:pt>
                <c:pt idx="7">
                  <c:v>0.42565082250148245</c:v>
                </c:pt>
                <c:pt idx="8">
                  <c:v>0.25686721291665371</c:v>
                </c:pt>
                <c:pt idx="9">
                  <c:v>0.13681012326750519</c:v>
                </c:pt>
                <c:pt idx="10">
                  <c:v>6.7110874479454963E-2</c:v>
                </c:pt>
                <c:pt idx="11">
                  <c:v>3.1457259534366733E-2</c:v>
                </c:pt>
                <c:pt idx="12">
                  <c:v>1.4415036328376152E-2</c:v>
                </c:pt>
                <c:pt idx="13">
                  <c:v>6.5354046097677587E-3</c:v>
                </c:pt>
                <c:pt idx="14">
                  <c:v>2.9484794129613912E-3</c:v>
                </c:pt>
                <c:pt idx="15">
                  <c:v>1.3272611400154677E-3</c:v>
                </c:pt>
                <c:pt idx="16">
                  <c:v>5.9686760508315118E-4</c:v>
                </c:pt>
                <c:pt idx="17">
                  <c:v>2.6828910235687786E-4</c:v>
                </c:pt>
                <c:pt idx="18">
                  <c:v>1.2057010364630028E-4</c:v>
                </c:pt>
                <c:pt idx="19">
                  <c:v>5.4179686630462243E-5</c:v>
                </c:pt>
                <c:pt idx="20">
                  <c:v>2.4345319607821381E-5</c:v>
                </c:pt>
                <c:pt idx="21">
                  <c:v>1.0939222225947454E-5</c:v>
                </c:pt>
                <c:pt idx="22">
                  <c:v>4.9153427019721363E-6</c:v>
                </c:pt>
                <c:pt idx="23">
                  <c:v>2.2086125700537806E-6</c:v>
                </c:pt>
                <c:pt idx="24">
                  <c:v>9.9239495610081718E-7</c:v>
                </c:pt>
                <c:pt idx="25">
                  <c:v>4.4591207160049606E-7</c:v>
                </c:pt>
                <c:pt idx="26">
                  <c:v>2.0036126446854041E-7</c:v>
                </c:pt>
                <c:pt idx="27">
                  <c:v>9.0028130617092472E-8</c:v>
                </c:pt>
              </c:numCache>
            </c:numRef>
          </c:val>
          <c:smooth val="0"/>
          <c:extLst>
            <c:ext xmlns:c16="http://schemas.microsoft.com/office/drawing/2014/chart" uri="{C3380CC4-5D6E-409C-BE32-E72D297353CC}">
              <c16:uniqueId val="{00000000-71F1-420A-891B-2CFE87D672A6}"/>
            </c:ext>
          </c:extLst>
        </c:ser>
        <c:ser>
          <c:idx val="13"/>
          <c:order val="1"/>
          <c:tx>
            <c:strRef>
              <c:f>Template_Cost_Calculator!$A$12</c:f>
              <c:strCache>
                <c:ptCount val="1"/>
                <c:pt idx="0">
                  <c:v>Residual value (vehicle)</c:v>
                </c:pt>
              </c:strCache>
            </c:strRef>
          </c:tx>
          <c:spPr>
            <a:ln w="28575" cap="rnd">
              <a:solidFill>
                <a:schemeClr val="accent2">
                  <a:lumMod val="80000"/>
                  <a:lumOff val="20000"/>
                </a:schemeClr>
              </a:solidFill>
              <a:round/>
            </a:ln>
            <a:effectLst/>
          </c:spPr>
          <c:marker>
            <c:symbol val="none"/>
          </c:marker>
          <c:val>
            <c:numRef>
              <c:f>Template_Cost_Calculator!$Q$12:$AR$12</c:f>
              <c:numCache>
                <c:formatCode>General</c:formatCode>
                <c:ptCount val="28"/>
                <c:pt idx="0">
                  <c:v>0.99403190884795445</c:v>
                </c:pt>
                <c:pt idx="1">
                  <c:v>0.98870000318069773</c:v>
                </c:pt>
                <c:pt idx="2">
                  <c:v>0.97864686803622136</c:v>
                </c:pt>
                <c:pt idx="3">
                  <c:v>0.95982538467280665</c:v>
                </c:pt>
                <c:pt idx="4">
                  <c:v>0.92512705484006208</c:v>
                </c:pt>
                <c:pt idx="5">
                  <c:v>0.86323195930299401</c:v>
                </c:pt>
                <c:pt idx="6">
                  <c:v>0.76000101689477173</c:v>
                </c:pt>
                <c:pt idx="7">
                  <c:v>0.60815171131295576</c:v>
                </c:pt>
                <c:pt idx="8">
                  <c:v>0.42565082250148245</c:v>
                </c:pt>
                <c:pt idx="9">
                  <c:v>0.25686721291665371</c:v>
                </c:pt>
                <c:pt idx="10">
                  <c:v>0.13681012326750519</c:v>
                </c:pt>
                <c:pt idx="11">
                  <c:v>6.7110874479454963E-2</c:v>
                </c:pt>
                <c:pt idx="12">
                  <c:v>3.1457259534366733E-2</c:v>
                </c:pt>
                <c:pt idx="13">
                  <c:v>1.4415036328376152E-2</c:v>
                </c:pt>
                <c:pt idx="14">
                  <c:v>6.5354046097677587E-3</c:v>
                </c:pt>
                <c:pt idx="15">
                  <c:v>2.9484794129613912E-3</c:v>
                </c:pt>
                <c:pt idx="16">
                  <c:v>1.3272611400154677E-3</c:v>
                </c:pt>
                <c:pt idx="17">
                  <c:v>5.9686760508315118E-4</c:v>
                </c:pt>
                <c:pt idx="18">
                  <c:v>2.6828910235687786E-4</c:v>
                </c:pt>
                <c:pt idx="19">
                  <c:v>1.2057010364630028E-4</c:v>
                </c:pt>
                <c:pt idx="20">
                  <c:v>5.4179686630462243E-5</c:v>
                </c:pt>
                <c:pt idx="21">
                  <c:v>2.4345319607821381E-5</c:v>
                </c:pt>
                <c:pt idx="22">
                  <c:v>1.0939222225947454E-5</c:v>
                </c:pt>
                <c:pt idx="23">
                  <c:v>4.9153427019721363E-6</c:v>
                </c:pt>
                <c:pt idx="24">
                  <c:v>2.2086125700537806E-6</c:v>
                </c:pt>
                <c:pt idx="25">
                  <c:v>9.9239495610081718E-7</c:v>
                </c:pt>
                <c:pt idx="26">
                  <c:v>4.4591207160049606E-7</c:v>
                </c:pt>
                <c:pt idx="27">
                  <c:v>2.0036126446854041E-7</c:v>
                </c:pt>
              </c:numCache>
            </c:numRef>
          </c:val>
          <c:smooth val="0"/>
          <c:extLst>
            <c:ext xmlns:c16="http://schemas.microsoft.com/office/drawing/2014/chart" uri="{C3380CC4-5D6E-409C-BE32-E72D297353CC}">
              <c16:uniqueId val="{00000000-8886-40BD-9A28-C337470B4C77}"/>
            </c:ext>
          </c:extLst>
        </c:ser>
        <c:ser>
          <c:idx val="1"/>
          <c:order val="2"/>
          <c:tx>
            <c:strRef>
              <c:f>Template_Cost_Calculator!$A$13</c:f>
              <c:strCache>
                <c:ptCount val="1"/>
                <c:pt idx="0">
                  <c:v>Capex costumization</c:v>
                </c:pt>
              </c:strCache>
            </c:strRef>
          </c:tx>
          <c:spPr>
            <a:ln w="28575" cap="rnd">
              <a:solidFill>
                <a:schemeClr val="accent2"/>
              </a:solidFill>
              <a:round/>
            </a:ln>
            <a:effectLst/>
          </c:spPr>
          <c:marker>
            <c:symbol val="none"/>
          </c:marker>
          <c:cat>
            <c:numRef>
              <c:f>Template_Cost_Calculator!$Q$10:$AR$10</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Template_Cost_Calculator!$Q$13:$AR$13</c:f>
              <c:numCache>
                <c:formatCode>General</c:formatCode>
                <c:ptCount val="28"/>
                <c:pt idx="0">
                  <c:v>0.99685076919798865</c:v>
                </c:pt>
                <c:pt idx="1">
                  <c:v>0.99403190884795445</c:v>
                </c:pt>
                <c:pt idx="2">
                  <c:v>0.98870000318069773</c:v>
                </c:pt>
                <c:pt idx="3">
                  <c:v>0.97864686803622136</c:v>
                </c:pt>
                <c:pt idx="4">
                  <c:v>0.95982538467280665</c:v>
                </c:pt>
                <c:pt idx="5">
                  <c:v>0.92512705484006208</c:v>
                </c:pt>
                <c:pt idx="6">
                  <c:v>0.86323195930299401</c:v>
                </c:pt>
                <c:pt idx="7">
                  <c:v>0.76000101689477173</c:v>
                </c:pt>
                <c:pt idx="8">
                  <c:v>0.60815171131295576</c:v>
                </c:pt>
                <c:pt idx="9">
                  <c:v>0.42565082250148245</c:v>
                </c:pt>
                <c:pt idx="10">
                  <c:v>0.25686721291665371</c:v>
                </c:pt>
                <c:pt idx="11">
                  <c:v>0.13681012326750519</c:v>
                </c:pt>
                <c:pt idx="12">
                  <c:v>6.7110874479454963E-2</c:v>
                </c:pt>
                <c:pt idx="13">
                  <c:v>3.1457259534366733E-2</c:v>
                </c:pt>
                <c:pt idx="14">
                  <c:v>1.4415036328376152E-2</c:v>
                </c:pt>
                <c:pt idx="15">
                  <c:v>6.5354046097677587E-3</c:v>
                </c:pt>
                <c:pt idx="16">
                  <c:v>2.9484794129613912E-3</c:v>
                </c:pt>
                <c:pt idx="17">
                  <c:v>1.3272611400154677E-3</c:v>
                </c:pt>
                <c:pt idx="18">
                  <c:v>5.9686760508315118E-4</c:v>
                </c:pt>
                <c:pt idx="19">
                  <c:v>2.6828910235687786E-4</c:v>
                </c:pt>
                <c:pt idx="20">
                  <c:v>1.2057010364630028E-4</c:v>
                </c:pt>
                <c:pt idx="21">
                  <c:v>5.4179686630462243E-5</c:v>
                </c:pt>
                <c:pt idx="22">
                  <c:v>2.4345319607821381E-5</c:v>
                </c:pt>
                <c:pt idx="23">
                  <c:v>1.0939222225947454E-5</c:v>
                </c:pt>
                <c:pt idx="24">
                  <c:v>4.9153427019721363E-6</c:v>
                </c:pt>
                <c:pt idx="25">
                  <c:v>2.2086125700537806E-6</c:v>
                </c:pt>
                <c:pt idx="26">
                  <c:v>9.9239495610081718E-7</c:v>
                </c:pt>
                <c:pt idx="27">
                  <c:v>4.4591207160049606E-7</c:v>
                </c:pt>
              </c:numCache>
            </c:numRef>
          </c:val>
          <c:smooth val="0"/>
          <c:extLst>
            <c:ext xmlns:c16="http://schemas.microsoft.com/office/drawing/2014/chart" uri="{C3380CC4-5D6E-409C-BE32-E72D297353CC}">
              <c16:uniqueId val="{00000002-71F1-420A-891B-2CFE87D672A6}"/>
            </c:ext>
          </c:extLst>
        </c:ser>
        <c:ser>
          <c:idx val="14"/>
          <c:order val="3"/>
          <c:tx>
            <c:strRef>
              <c:f>Template_Cost_Calculator!$A$14</c:f>
              <c:strCache>
                <c:ptCount val="1"/>
                <c:pt idx="0">
                  <c:v>Residual value (costumization)</c:v>
                </c:pt>
              </c:strCache>
            </c:strRef>
          </c:tx>
          <c:spPr>
            <a:ln w="28575" cap="rnd">
              <a:solidFill>
                <a:schemeClr val="accent3">
                  <a:lumMod val="80000"/>
                  <a:lumOff val="20000"/>
                </a:schemeClr>
              </a:solidFill>
              <a:round/>
            </a:ln>
            <a:effectLst/>
          </c:spPr>
          <c:marker>
            <c:symbol val="none"/>
          </c:marker>
          <c:val>
            <c:numRef>
              <c:f>Template_Cost_Calculator!$Q$14:$AR$14</c:f>
              <c:numCache>
                <c:formatCode>General</c:formatCode>
                <c:ptCount val="28"/>
                <c:pt idx="0">
                  <c:v>0.99833888850453545</c:v>
                </c:pt>
                <c:pt idx="1">
                  <c:v>0.99685076919798865</c:v>
                </c:pt>
                <c:pt idx="2">
                  <c:v>0.99403190884795445</c:v>
                </c:pt>
                <c:pt idx="3">
                  <c:v>0.98870000318069773</c:v>
                </c:pt>
                <c:pt idx="4">
                  <c:v>0.97864686803622136</c:v>
                </c:pt>
                <c:pt idx="5">
                  <c:v>0.95982538467280665</c:v>
                </c:pt>
                <c:pt idx="6">
                  <c:v>0.92512705484006208</c:v>
                </c:pt>
                <c:pt idx="7">
                  <c:v>0.86323195930299401</c:v>
                </c:pt>
                <c:pt idx="8">
                  <c:v>0.76000101689477173</c:v>
                </c:pt>
                <c:pt idx="9">
                  <c:v>0.60815171131295576</c:v>
                </c:pt>
                <c:pt idx="10">
                  <c:v>0.42565082250148245</c:v>
                </c:pt>
                <c:pt idx="11">
                  <c:v>0.25686721291665371</c:v>
                </c:pt>
                <c:pt idx="12">
                  <c:v>0.13681012326750519</c:v>
                </c:pt>
                <c:pt idx="13">
                  <c:v>6.7110874479454963E-2</c:v>
                </c:pt>
                <c:pt idx="14">
                  <c:v>3.1457259534366733E-2</c:v>
                </c:pt>
                <c:pt idx="15">
                  <c:v>1.4415036328376152E-2</c:v>
                </c:pt>
                <c:pt idx="16">
                  <c:v>6.5354046097677587E-3</c:v>
                </c:pt>
                <c:pt idx="17">
                  <c:v>2.9484794129613912E-3</c:v>
                </c:pt>
                <c:pt idx="18">
                  <c:v>1.3272611400154677E-3</c:v>
                </c:pt>
                <c:pt idx="19">
                  <c:v>5.9686760508315118E-4</c:v>
                </c:pt>
                <c:pt idx="20">
                  <c:v>2.6828910235687786E-4</c:v>
                </c:pt>
                <c:pt idx="21">
                  <c:v>1.2057010364630028E-4</c:v>
                </c:pt>
                <c:pt idx="22">
                  <c:v>5.4179686630462243E-5</c:v>
                </c:pt>
                <c:pt idx="23">
                  <c:v>2.4345319607821381E-5</c:v>
                </c:pt>
                <c:pt idx="24">
                  <c:v>1.0939222225947454E-5</c:v>
                </c:pt>
                <c:pt idx="25">
                  <c:v>4.9153427019721363E-6</c:v>
                </c:pt>
                <c:pt idx="26">
                  <c:v>2.2086125700537806E-6</c:v>
                </c:pt>
                <c:pt idx="27">
                  <c:v>9.9239495610081718E-7</c:v>
                </c:pt>
              </c:numCache>
            </c:numRef>
          </c:val>
          <c:smooth val="0"/>
          <c:extLst>
            <c:ext xmlns:c16="http://schemas.microsoft.com/office/drawing/2014/chart" uri="{C3380CC4-5D6E-409C-BE32-E72D297353CC}">
              <c16:uniqueId val="{00000001-8886-40BD-9A28-C337470B4C77}"/>
            </c:ext>
          </c:extLst>
        </c:ser>
        <c:ser>
          <c:idx val="2"/>
          <c:order val="4"/>
          <c:tx>
            <c:strRef>
              <c:f>Template_Cost_Calculator!$A$15</c:f>
              <c:strCache>
                <c:ptCount val="1"/>
                <c:pt idx="0">
                  <c:v>WACC</c:v>
                </c:pt>
              </c:strCache>
            </c:strRef>
          </c:tx>
          <c:spPr>
            <a:ln w="28575" cap="rnd">
              <a:solidFill>
                <a:schemeClr val="accent3"/>
              </a:solidFill>
              <a:round/>
            </a:ln>
            <a:effectLst/>
          </c:spPr>
          <c:marker>
            <c:symbol val="none"/>
          </c:marker>
          <c:cat>
            <c:numRef>
              <c:f>Template_Cost_Calculator!$Q$10:$AR$10</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Template_Cost_Calculator!$Q$15:$AR$15</c:f>
              <c:numCache>
                <c:formatCode>General</c:formatCode>
                <c:ptCount val="28"/>
                <c:pt idx="0">
                  <c:v>0.99912397907241213</c:v>
                </c:pt>
                <c:pt idx="1">
                  <c:v>0.99833888850453545</c:v>
                </c:pt>
                <c:pt idx="2">
                  <c:v>0.99685076919798865</c:v>
                </c:pt>
                <c:pt idx="3">
                  <c:v>0.99403190884795445</c:v>
                </c:pt>
                <c:pt idx="4">
                  <c:v>0.98870000318069773</c:v>
                </c:pt>
                <c:pt idx="5">
                  <c:v>0.97864686803622136</c:v>
                </c:pt>
                <c:pt idx="6">
                  <c:v>0.95982538467280665</c:v>
                </c:pt>
                <c:pt idx="7">
                  <c:v>0.92512705484006208</c:v>
                </c:pt>
                <c:pt idx="8">
                  <c:v>0.86323195930299401</c:v>
                </c:pt>
                <c:pt idx="9">
                  <c:v>0.76000101689477173</c:v>
                </c:pt>
                <c:pt idx="10">
                  <c:v>0.60815171131295576</c:v>
                </c:pt>
                <c:pt idx="11">
                  <c:v>0.42565082250148245</c:v>
                </c:pt>
                <c:pt idx="12">
                  <c:v>0.25686721291665371</c:v>
                </c:pt>
                <c:pt idx="13">
                  <c:v>0.13681012326750519</c:v>
                </c:pt>
                <c:pt idx="14">
                  <c:v>6.7110874479454963E-2</c:v>
                </c:pt>
                <c:pt idx="15">
                  <c:v>3.1457259534366733E-2</c:v>
                </c:pt>
                <c:pt idx="16">
                  <c:v>1.4415036328376152E-2</c:v>
                </c:pt>
                <c:pt idx="17">
                  <c:v>6.5354046097677587E-3</c:v>
                </c:pt>
                <c:pt idx="18">
                  <c:v>2.9484794129613912E-3</c:v>
                </c:pt>
                <c:pt idx="19">
                  <c:v>1.3272611400154677E-3</c:v>
                </c:pt>
                <c:pt idx="20">
                  <c:v>5.9686760508315118E-4</c:v>
                </c:pt>
                <c:pt idx="21">
                  <c:v>2.6828910235687786E-4</c:v>
                </c:pt>
                <c:pt idx="22">
                  <c:v>1.2057010364630028E-4</c:v>
                </c:pt>
                <c:pt idx="23">
                  <c:v>5.4179686630462243E-5</c:v>
                </c:pt>
                <c:pt idx="24">
                  <c:v>2.4345319607821381E-5</c:v>
                </c:pt>
                <c:pt idx="25">
                  <c:v>1.0939222225947454E-5</c:v>
                </c:pt>
                <c:pt idx="26">
                  <c:v>4.9153427019721363E-6</c:v>
                </c:pt>
                <c:pt idx="27">
                  <c:v>2.2086125700537806E-6</c:v>
                </c:pt>
              </c:numCache>
            </c:numRef>
          </c:val>
          <c:smooth val="0"/>
          <c:extLst>
            <c:ext xmlns:c16="http://schemas.microsoft.com/office/drawing/2014/chart" uri="{C3380CC4-5D6E-409C-BE32-E72D297353CC}">
              <c16:uniqueId val="{00000003-71F1-420A-891B-2CFE87D672A6}"/>
            </c:ext>
          </c:extLst>
        </c:ser>
        <c:ser>
          <c:idx val="3"/>
          <c:order val="5"/>
          <c:tx>
            <c:strRef>
              <c:f>Template_Cost_Calculator!$A$16</c:f>
              <c:strCache>
                <c:ptCount val="1"/>
                <c:pt idx="0">
                  <c:v>Opex fix (admin, crew, insurance)</c:v>
                </c:pt>
              </c:strCache>
            </c:strRef>
          </c:tx>
          <c:spPr>
            <a:ln w="28575" cap="rnd">
              <a:solidFill>
                <a:schemeClr val="accent4"/>
              </a:solidFill>
              <a:round/>
            </a:ln>
            <a:effectLst/>
          </c:spPr>
          <c:marker>
            <c:symbol val="none"/>
          </c:marker>
          <c:cat>
            <c:numRef>
              <c:f>Template_Cost_Calculator!$Q$10:$AR$10</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Template_Cost_Calculator!$Q$16:$AR$16</c:f>
              <c:numCache>
                <c:formatCode>General</c:formatCode>
                <c:ptCount val="28"/>
                <c:pt idx="0">
                  <c:v>0.9995380501308736</c:v>
                </c:pt>
                <c:pt idx="1">
                  <c:v>0.99912397907241213</c:v>
                </c:pt>
                <c:pt idx="2">
                  <c:v>0.99833888850453545</c:v>
                </c:pt>
                <c:pt idx="3">
                  <c:v>0.99685076919798865</c:v>
                </c:pt>
                <c:pt idx="4">
                  <c:v>0.99403190884795445</c:v>
                </c:pt>
                <c:pt idx="5">
                  <c:v>0.98870000318069773</c:v>
                </c:pt>
                <c:pt idx="6">
                  <c:v>0.97864686803622136</c:v>
                </c:pt>
                <c:pt idx="7">
                  <c:v>0.95982538467280665</c:v>
                </c:pt>
                <c:pt idx="8">
                  <c:v>0.92512705484006208</c:v>
                </c:pt>
                <c:pt idx="9">
                  <c:v>0.86323195930299401</c:v>
                </c:pt>
                <c:pt idx="10">
                  <c:v>0.76000101689477173</c:v>
                </c:pt>
                <c:pt idx="11">
                  <c:v>0.60815171131295576</c:v>
                </c:pt>
                <c:pt idx="12">
                  <c:v>0.42565082250148245</c:v>
                </c:pt>
                <c:pt idx="13">
                  <c:v>0.25686721291665371</c:v>
                </c:pt>
                <c:pt idx="14">
                  <c:v>0.13681012326750519</c:v>
                </c:pt>
                <c:pt idx="15">
                  <c:v>6.7110874479454963E-2</c:v>
                </c:pt>
                <c:pt idx="16">
                  <c:v>3.1457259534366733E-2</c:v>
                </c:pt>
                <c:pt idx="17">
                  <c:v>1.4415036328376152E-2</c:v>
                </c:pt>
                <c:pt idx="18">
                  <c:v>6.5354046097677587E-3</c:v>
                </c:pt>
                <c:pt idx="19">
                  <c:v>2.9484794129613912E-3</c:v>
                </c:pt>
                <c:pt idx="20">
                  <c:v>1.3272611400154677E-3</c:v>
                </c:pt>
                <c:pt idx="21">
                  <c:v>5.9686760508315118E-4</c:v>
                </c:pt>
                <c:pt idx="22">
                  <c:v>2.6828910235687786E-4</c:v>
                </c:pt>
                <c:pt idx="23">
                  <c:v>1.2057010364630028E-4</c:v>
                </c:pt>
                <c:pt idx="24">
                  <c:v>5.4179686630462243E-5</c:v>
                </c:pt>
                <c:pt idx="25">
                  <c:v>2.4345319607821381E-5</c:v>
                </c:pt>
                <c:pt idx="26">
                  <c:v>1.0939222225947454E-5</c:v>
                </c:pt>
                <c:pt idx="27">
                  <c:v>4.9153427019721363E-6</c:v>
                </c:pt>
              </c:numCache>
            </c:numRef>
          </c:val>
          <c:smooth val="0"/>
          <c:extLst>
            <c:ext xmlns:c16="http://schemas.microsoft.com/office/drawing/2014/chart" uri="{C3380CC4-5D6E-409C-BE32-E72D297353CC}">
              <c16:uniqueId val="{00000004-71F1-420A-891B-2CFE87D672A6}"/>
            </c:ext>
          </c:extLst>
        </c:ser>
        <c:ser>
          <c:idx val="4"/>
          <c:order val="6"/>
          <c:tx>
            <c:strRef>
              <c:f>Template_Cost_Calculator!$A$18</c:f>
              <c:strCache>
                <c:ptCount val="1"/>
                <c:pt idx="0">
                  <c:v>Opex var (mode-fees, cargo handling)</c:v>
                </c:pt>
              </c:strCache>
            </c:strRef>
          </c:tx>
          <c:spPr>
            <a:ln w="28575" cap="rnd">
              <a:solidFill>
                <a:schemeClr val="accent5"/>
              </a:solidFill>
              <a:round/>
            </a:ln>
            <a:effectLst/>
          </c:spPr>
          <c:marker>
            <c:symbol val="none"/>
          </c:marker>
          <c:cat>
            <c:numRef>
              <c:f>Template_Cost_Calculator!$Q$10:$AR$10</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Template_Cost_Calculator!$Q$18:$AR$18</c:f>
              <c:numCache>
                <c:formatCode>General</c:formatCode>
                <c:ptCount val="28"/>
                <c:pt idx="0">
                  <c:v>0.99987155515136772</c:v>
                </c:pt>
                <c:pt idx="1">
                  <c:v>0.99975641006619353</c:v>
                </c:pt>
                <c:pt idx="2">
                  <c:v>0.9995380501308736</c:v>
                </c:pt>
                <c:pt idx="3">
                  <c:v>0.99912397907241213</c:v>
                </c:pt>
                <c:pt idx="4">
                  <c:v>0.99833888850453545</c:v>
                </c:pt>
                <c:pt idx="5">
                  <c:v>0.99685076919798865</c:v>
                </c:pt>
                <c:pt idx="6">
                  <c:v>0.99403190884795445</c:v>
                </c:pt>
                <c:pt idx="7">
                  <c:v>0.98870000318069773</c:v>
                </c:pt>
                <c:pt idx="8">
                  <c:v>0.97864686803622136</c:v>
                </c:pt>
                <c:pt idx="9">
                  <c:v>0.95982538467280665</c:v>
                </c:pt>
                <c:pt idx="10">
                  <c:v>0.92512705484006208</c:v>
                </c:pt>
                <c:pt idx="11">
                  <c:v>0.86323195930299401</c:v>
                </c:pt>
                <c:pt idx="12">
                  <c:v>0.76000101689477173</c:v>
                </c:pt>
                <c:pt idx="13">
                  <c:v>0.60815171131295576</c:v>
                </c:pt>
                <c:pt idx="14">
                  <c:v>0.42565082250148245</c:v>
                </c:pt>
                <c:pt idx="15">
                  <c:v>0.25686721291665371</c:v>
                </c:pt>
                <c:pt idx="16">
                  <c:v>0.13681012326750519</c:v>
                </c:pt>
                <c:pt idx="17">
                  <c:v>6.7110874479454963E-2</c:v>
                </c:pt>
                <c:pt idx="18">
                  <c:v>3.1457259534366733E-2</c:v>
                </c:pt>
                <c:pt idx="19">
                  <c:v>1.4415036328376152E-2</c:v>
                </c:pt>
                <c:pt idx="20">
                  <c:v>6.5354046097677587E-3</c:v>
                </c:pt>
                <c:pt idx="21">
                  <c:v>2.9484794129613912E-3</c:v>
                </c:pt>
                <c:pt idx="22">
                  <c:v>1.3272611400154677E-3</c:v>
                </c:pt>
                <c:pt idx="23">
                  <c:v>5.9686760508315118E-4</c:v>
                </c:pt>
                <c:pt idx="24">
                  <c:v>2.6828910235687786E-4</c:v>
                </c:pt>
                <c:pt idx="25">
                  <c:v>1.2057010364630028E-4</c:v>
                </c:pt>
                <c:pt idx="26">
                  <c:v>5.4179686630462243E-5</c:v>
                </c:pt>
                <c:pt idx="27">
                  <c:v>2.4345319607821381E-5</c:v>
                </c:pt>
              </c:numCache>
            </c:numRef>
          </c:val>
          <c:smooth val="0"/>
          <c:extLst>
            <c:ext xmlns:c16="http://schemas.microsoft.com/office/drawing/2014/chart" uri="{C3380CC4-5D6E-409C-BE32-E72D297353CC}">
              <c16:uniqueId val="{00000005-71F1-420A-891B-2CFE87D672A6}"/>
            </c:ext>
          </c:extLst>
        </c:ser>
        <c:ser>
          <c:idx val="5"/>
          <c:order val="7"/>
          <c:tx>
            <c:strRef>
              <c:f>Template_Cost_Calculator!$A$19</c:f>
              <c:strCache>
                <c:ptCount val="1"/>
                <c:pt idx="0">
                  <c:v>Fuel Economy</c:v>
                </c:pt>
              </c:strCache>
            </c:strRef>
          </c:tx>
          <c:spPr>
            <a:ln w="28575" cap="rnd">
              <a:solidFill>
                <a:schemeClr val="accent6"/>
              </a:solidFill>
              <a:round/>
            </a:ln>
            <a:effectLst/>
          </c:spPr>
          <c:marker>
            <c:symbol val="none"/>
          </c:marker>
          <c:cat>
            <c:numRef>
              <c:f>Template_Cost_Calculator!$Q$10:$AR$10</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Template_Cost_Calculator!$Q$19:$AR$19</c:f>
              <c:numCache>
                <c:formatCode>General</c:formatCode>
                <c:ptCount val="28"/>
                <c:pt idx="0">
                  <c:v>0.99993227159641906</c:v>
                </c:pt>
                <c:pt idx="1">
                  <c:v>0.99987155515136772</c:v>
                </c:pt>
                <c:pt idx="2">
                  <c:v>0.99975641006619353</c:v>
                </c:pt>
                <c:pt idx="3">
                  <c:v>0.9995380501308736</c:v>
                </c:pt>
                <c:pt idx="4">
                  <c:v>0.99912397907241213</c:v>
                </c:pt>
                <c:pt idx="5">
                  <c:v>0.99833888850453545</c:v>
                </c:pt>
                <c:pt idx="6">
                  <c:v>0.99685076919798865</c:v>
                </c:pt>
                <c:pt idx="7">
                  <c:v>0.99403190884795445</c:v>
                </c:pt>
                <c:pt idx="8">
                  <c:v>0.98870000318069773</c:v>
                </c:pt>
                <c:pt idx="9">
                  <c:v>0.97864686803622136</c:v>
                </c:pt>
                <c:pt idx="10">
                  <c:v>0.95982538467280665</c:v>
                </c:pt>
                <c:pt idx="11">
                  <c:v>0.92512705484006208</c:v>
                </c:pt>
                <c:pt idx="12">
                  <c:v>0.86323195930299401</c:v>
                </c:pt>
                <c:pt idx="13">
                  <c:v>0.76000101689477173</c:v>
                </c:pt>
                <c:pt idx="14">
                  <c:v>0.60815171131295576</c:v>
                </c:pt>
                <c:pt idx="15">
                  <c:v>0.42565082250148245</c:v>
                </c:pt>
                <c:pt idx="16">
                  <c:v>0.25686721291665371</c:v>
                </c:pt>
                <c:pt idx="17">
                  <c:v>0.13681012326750519</c:v>
                </c:pt>
                <c:pt idx="18">
                  <c:v>6.7110874479454963E-2</c:v>
                </c:pt>
                <c:pt idx="19">
                  <c:v>3.1457259534366733E-2</c:v>
                </c:pt>
                <c:pt idx="20">
                  <c:v>1.4415036328376152E-2</c:v>
                </c:pt>
                <c:pt idx="21">
                  <c:v>6.5354046097677587E-3</c:v>
                </c:pt>
                <c:pt idx="22">
                  <c:v>2.9484794129613912E-3</c:v>
                </c:pt>
                <c:pt idx="23">
                  <c:v>1.3272611400154677E-3</c:v>
                </c:pt>
                <c:pt idx="24">
                  <c:v>5.9686760508315118E-4</c:v>
                </c:pt>
                <c:pt idx="25">
                  <c:v>2.6828910235687786E-4</c:v>
                </c:pt>
                <c:pt idx="26">
                  <c:v>1.2057010364630028E-4</c:v>
                </c:pt>
                <c:pt idx="27">
                  <c:v>5.4179686630462243E-5</c:v>
                </c:pt>
              </c:numCache>
            </c:numRef>
          </c:val>
          <c:smooth val="0"/>
          <c:extLst>
            <c:ext xmlns:c16="http://schemas.microsoft.com/office/drawing/2014/chart" uri="{C3380CC4-5D6E-409C-BE32-E72D297353CC}">
              <c16:uniqueId val="{00000006-71F1-420A-891B-2CFE87D672A6}"/>
            </c:ext>
          </c:extLst>
        </c:ser>
        <c:ser>
          <c:idx val="6"/>
          <c:order val="8"/>
          <c:tx>
            <c:strRef>
              <c:f>Template_Cost_Calculator!$A$20</c:f>
              <c:strCache>
                <c:ptCount val="1"/>
                <c:pt idx="0">
                  <c:v>Fuel Cost</c:v>
                </c:pt>
              </c:strCache>
            </c:strRef>
          </c:tx>
          <c:spPr>
            <a:ln w="28575" cap="rnd">
              <a:solidFill>
                <a:schemeClr val="accent1">
                  <a:lumMod val="60000"/>
                </a:schemeClr>
              </a:solidFill>
              <a:round/>
            </a:ln>
            <a:effectLst/>
          </c:spPr>
          <c:marker>
            <c:symbol val="none"/>
          </c:marker>
          <c:cat>
            <c:numRef>
              <c:f>Template_Cost_Calculator!$Q$10:$AR$10</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Template_Cost_Calculator!$Q$20:$AR$20</c:f>
              <c:numCache>
                <c:formatCode>General</c:formatCode>
                <c:ptCount val="28"/>
                <c:pt idx="0">
                  <c:v>0.99996428722923425</c:v>
                </c:pt>
                <c:pt idx="1">
                  <c:v>0.99993227159641906</c:v>
                </c:pt>
                <c:pt idx="2">
                  <c:v>0.99987155515136772</c:v>
                </c:pt>
                <c:pt idx="3">
                  <c:v>0.99975641006619353</c:v>
                </c:pt>
                <c:pt idx="4">
                  <c:v>0.9995380501308736</c:v>
                </c:pt>
                <c:pt idx="5">
                  <c:v>0.99912397907241213</c:v>
                </c:pt>
                <c:pt idx="6">
                  <c:v>0.99833888850453545</c:v>
                </c:pt>
                <c:pt idx="7">
                  <c:v>0.99685076919798865</c:v>
                </c:pt>
                <c:pt idx="8">
                  <c:v>0.99403190884795445</c:v>
                </c:pt>
                <c:pt idx="9">
                  <c:v>0.98870000318069773</c:v>
                </c:pt>
                <c:pt idx="10">
                  <c:v>0.97864686803622136</c:v>
                </c:pt>
                <c:pt idx="11">
                  <c:v>0.95982538467280665</c:v>
                </c:pt>
                <c:pt idx="12">
                  <c:v>0.92512705484006208</c:v>
                </c:pt>
                <c:pt idx="13">
                  <c:v>0.86323195930299401</c:v>
                </c:pt>
                <c:pt idx="14">
                  <c:v>0.76000101689477173</c:v>
                </c:pt>
                <c:pt idx="15">
                  <c:v>0.60815171131295576</c:v>
                </c:pt>
                <c:pt idx="16">
                  <c:v>0.42565082250148245</c:v>
                </c:pt>
                <c:pt idx="17">
                  <c:v>0.25686721291665371</c:v>
                </c:pt>
                <c:pt idx="18">
                  <c:v>0.13681012326750519</c:v>
                </c:pt>
                <c:pt idx="19">
                  <c:v>6.7110874479454963E-2</c:v>
                </c:pt>
                <c:pt idx="20">
                  <c:v>3.1457259534366733E-2</c:v>
                </c:pt>
                <c:pt idx="21">
                  <c:v>1.4415036328376152E-2</c:v>
                </c:pt>
                <c:pt idx="22">
                  <c:v>6.5354046097677587E-3</c:v>
                </c:pt>
                <c:pt idx="23">
                  <c:v>2.9484794129613912E-3</c:v>
                </c:pt>
                <c:pt idx="24">
                  <c:v>1.3272611400154677E-3</c:v>
                </c:pt>
                <c:pt idx="25">
                  <c:v>5.9686760508315118E-4</c:v>
                </c:pt>
                <c:pt idx="26">
                  <c:v>2.6828910235687786E-4</c:v>
                </c:pt>
                <c:pt idx="27">
                  <c:v>1.2057010364630028E-4</c:v>
                </c:pt>
              </c:numCache>
            </c:numRef>
          </c:val>
          <c:smooth val="0"/>
          <c:extLst>
            <c:ext xmlns:c16="http://schemas.microsoft.com/office/drawing/2014/chart" uri="{C3380CC4-5D6E-409C-BE32-E72D297353CC}">
              <c16:uniqueId val="{00000007-71F1-420A-891B-2CFE87D672A6}"/>
            </c:ext>
          </c:extLst>
        </c:ser>
        <c:ser>
          <c:idx val="7"/>
          <c:order val="9"/>
          <c:tx>
            <c:strRef>
              <c:f>Template_Cost_Calculator!$A$21</c:f>
              <c:strCache>
                <c:ptCount val="1"/>
                <c:pt idx="0">
                  <c:v>Lifetime vehicle</c:v>
                </c:pt>
              </c:strCache>
            </c:strRef>
          </c:tx>
          <c:spPr>
            <a:ln w="28575" cap="rnd">
              <a:solidFill>
                <a:schemeClr val="accent2">
                  <a:lumMod val="60000"/>
                </a:schemeClr>
              </a:solidFill>
              <a:round/>
            </a:ln>
            <a:effectLst/>
          </c:spPr>
          <c:marker>
            <c:symbol val="none"/>
          </c:marker>
          <c:cat>
            <c:numRef>
              <c:f>Template_Cost_Calculator!$Q$10:$AR$10</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Template_Cost_Calculator!$Q$21:$AR$21</c:f>
              <c:numCache>
                <c:formatCode>General</c:formatCode>
                <c:ptCount val="28"/>
                <c:pt idx="0">
                  <c:v>0.99998116890363087</c:v>
                </c:pt>
                <c:pt idx="1">
                  <c:v>0.99996428722923425</c:v>
                </c:pt>
                <c:pt idx="2">
                  <c:v>0.99993227159641906</c:v>
                </c:pt>
                <c:pt idx="3">
                  <c:v>0.99987155515136772</c:v>
                </c:pt>
                <c:pt idx="4">
                  <c:v>0.99975641006619353</c:v>
                </c:pt>
                <c:pt idx="5">
                  <c:v>0.9995380501308736</c:v>
                </c:pt>
                <c:pt idx="6">
                  <c:v>0.99912397907241213</c:v>
                </c:pt>
                <c:pt idx="7">
                  <c:v>0.99833888850453545</c:v>
                </c:pt>
                <c:pt idx="8">
                  <c:v>0.99685076919798865</c:v>
                </c:pt>
                <c:pt idx="9">
                  <c:v>0.99403190884795445</c:v>
                </c:pt>
                <c:pt idx="10">
                  <c:v>0.98870000318069773</c:v>
                </c:pt>
                <c:pt idx="11">
                  <c:v>0.97864686803622136</c:v>
                </c:pt>
                <c:pt idx="12">
                  <c:v>0.95982538467280665</c:v>
                </c:pt>
                <c:pt idx="13">
                  <c:v>0.92512705484006208</c:v>
                </c:pt>
                <c:pt idx="14">
                  <c:v>0.86323195930299401</c:v>
                </c:pt>
                <c:pt idx="15">
                  <c:v>0.76000101689477173</c:v>
                </c:pt>
                <c:pt idx="16">
                  <c:v>0.60815171131295576</c:v>
                </c:pt>
                <c:pt idx="17">
                  <c:v>0.42565082250148245</c:v>
                </c:pt>
                <c:pt idx="18">
                  <c:v>0.25686721291665371</c:v>
                </c:pt>
                <c:pt idx="19">
                  <c:v>0.13681012326750519</c:v>
                </c:pt>
                <c:pt idx="20">
                  <c:v>6.7110874479454963E-2</c:v>
                </c:pt>
                <c:pt idx="21">
                  <c:v>3.1457259534366733E-2</c:v>
                </c:pt>
                <c:pt idx="22">
                  <c:v>1.4415036328376152E-2</c:v>
                </c:pt>
                <c:pt idx="23">
                  <c:v>6.5354046097677587E-3</c:v>
                </c:pt>
                <c:pt idx="24">
                  <c:v>2.9484794129613912E-3</c:v>
                </c:pt>
                <c:pt idx="25">
                  <c:v>1.3272611400154677E-3</c:v>
                </c:pt>
                <c:pt idx="26">
                  <c:v>5.9686760508315118E-4</c:v>
                </c:pt>
                <c:pt idx="27">
                  <c:v>2.6828910235687786E-4</c:v>
                </c:pt>
              </c:numCache>
            </c:numRef>
          </c:val>
          <c:smooth val="0"/>
          <c:extLst>
            <c:ext xmlns:c16="http://schemas.microsoft.com/office/drawing/2014/chart" uri="{C3380CC4-5D6E-409C-BE32-E72D297353CC}">
              <c16:uniqueId val="{00000008-71F1-420A-891B-2CFE87D672A6}"/>
            </c:ext>
          </c:extLst>
        </c:ser>
        <c:ser>
          <c:idx val="8"/>
          <c:order val="10"/>
          <c:tx>
            <c:strRef>
              <c:f>Template_Cost_Calculator!$A$22</c:f>
              <c:strCache>
                <c:ptCount val="1"/>
                <c:pt idx="0">
                  <c:v>Lifetime costumization</c:v>
                </c:pt>
              </c:strCache>
            </c:strRef>
          </c:tx>
          <c:spPr>
            <a:ln w="28575" cap="rnd">
              <a:solidFill>
                <a:schemeClr val="accent3">
                  <a:lumMod val="60000"/>
                </a:schemeClr>
              </a:solidFill>
              <a:round/>
            </a:ln>
            <a:effectLst/>
          </c:spPr>
          <c:marker>
            <c:symbol val="none"/>
          </c:marker>
          <c:cat>
            <c:numRef>
              <c:f>Template_Cost_Calculator!$Q$10:$AR$10</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Template_Cost_Calculator!$Q$22:$AR$22</c:f>
              <c:numCache>
                <c:formatCode>General</c:formatCode>
                <c:ptCount val="28"/>
                <c:pt idx="0">
                  <c:v>0.99999007050012179</c:v>
                </c:pt>
                <c:pt idx="1">
                  <c:v>0.99998116890363087</c:v>
                </c:pt>
                <c:pt idx="2">
                  <c:v>0.99996428722923425</c:v>
                </c:pt>
                <c:pt idx="3">
                  <c:v>0.99993227159641906</c:v>
                </c:pt>
                <c:pt idx="4">
                  <c:v>0.99987155515136772</c:v>
                </c:pt>
                <c:pt idx="5">
                  <c:v>0.99975641006619353</c:v>
                </c:pt>
                <c:pt idx="6">
                  <c:v>0.9995380501308736</c:v>
                </c:pt>
                <c:pt idx="7">
                  <c:v>0.99912397907241213</c:v>
                </c:pt>
                <c:pt idx="8">
                  <c:v>0.99833888850453545</c:v>
                </c:pt>
                <c:pt idx="9">
                  <c:v>0.99685076919798865</c:v>
                </c:pt>
                <c:pt idx="10">
                  <c:v>0.99403190884795445</c:v>
                </c:pt>
                <c:pt idx="11">
                  <c:v>0.98870000318069773</c:v>
                </c:pt>
                <c:pt idx="12">
                  <c:v>0.97864686803622136</c:v>
                </c:pt>
                <c:pt idx="13">
                  <c:v>0.95982538467280665</c:v>
                </c:pt>
                <c:pt idx="14">
                  <c:v>0.92512705484006208</c:v>
                </c:pt>
                <c:pt idx="15">
                  <c:v>0.86323195930299401</c:v>
                </c:pt>
                <c:pt idx="16">
                  <c:v>0.76000101689477173</c:v>
                </c:pt>
                <c:pt idx="17">
                  <c:v>0.60815171131295576</c:v>
                </c:pt>
                <c:pt idx="18">
                  <c:v>0.42565082250148245</c:v>
                </c:pt>
                <c:pt idx="19">
                  <c:v>0.25686721291665371</c:v>
                </c:pt>
                <c:pt idx="20">
                  <c:v>0.13681012326750519</c:v>
                </c:pt>
                <c:pt idx="21">
                  <c:v>6.7110874479454963E-2</c:v>
                </c:pt>
                <c:pt idx="22">
                  <c:v>3.1457259534366733E-2</c:v>
                </c:pt>
                <c:pt idx="23">
                  <c:v>1.4415036328376152E-2</c:v>
                </c:pt>
                <c:pt idx="24">
                  <c:v>6.5354046097677587E-3</c:v>
                </c:pt>
                <c:pt idx="25">
                  <c:v>2.9484794129613912E-3</c:v>
                </c:pt>
                <c:pt idx="26">
                  <c:v>1.3272611400154677E-3</c:v>
                </c:pt>
                <c:pt idx="27">
                  <c:v>5.9686760508315118E-4</c:v>
                </c:pt>
              </c:numCache>
            </c:numRef>
          </c:val>
          <c:smooth val="0"/>
          <c:extLst>
            <c:ext xmlns:c16="http://schemas.microsoft.com/office/drawing/2014/chart" uri="{C3380CC4-5D6E-409C-BE32-E72D297353CC}">
              <c16:uniqueId val="{00000009-71F1-420A-891B-2CFE87D672A6}"/>
            </c:ext>
          </c:extLst>
        </c:ser>
        <c:ser>
          <c:idx val="9"/>
          <c:order val="11"/>
          <c:tx>
            <c:strRef>
              <c:f>Template_Cost_Calculator!$A$23</c:f>
              <c:strCache>
                <c:ptCount val="1"/>
                <c:pt idx="0">
                  <c:v>Tonnage .</c:v>
                </c:pt>
              </c:strCache>
            </c:strRef>
          </c:tx>
          <c:spPr>
            <a:ln w="28575" cap="rnd">
              <a:solidFill>
                <a:schemeClr val="accent4">
                  <a:lumMod val="60000"/>
                </a:schemeClr>
              </a:solidFill>
              <a:round/>
            </a:ln>
            <a:effectLst/>
          </c:spPr>
          <c:marker>
            <c:symbol val="none"/>
          </c:marker>
          <c:cat>
            <c:numRef>
              <c:f>Template_Cost_Calculator!$Q$10:$AR$10</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Template_Cost_Calculator!$Q$23:$AR$23</c:f>
              <c:numCache>
                <c:formatCode>General</c:formatCode>
                <c:ptCount val="28"/>
                <c:pt idx="0">
                  <c:v>0.99999476424865408</c:v>
                </c:pt>
                <c:pt idx="1">
                  <c:v>0.99999007050012179</c:v>
                </c:pt>
                <c:pt idx="2">
                  <c:v>0.99998116890363087</c:v>
                </c:pt>
                <c:pt idx="3">
                  <c:v>0.99996428722923425</c:v>
                </c:pt>
                <c:pt idx="4">
                  <c:v>0.99993227159641906</c:v>
                </c:pt>
                <c:pt idx="5">
                  <c:v>0.99987155515136772</c:v>
                </c:pt>
                <c:pt idx="6">
                  <c:v>0.99975641006619353</c:v>
                </c:pt>
                <c:pt idx="7">
                  <c:v>0.9995380501308736</c:v>
                </c:pt>
                <c:pt idx="8">
                  <c:v>0.99912397907241213</c:v>
                </c:pt>
                <c:pt idx="9">
                  <c:v>0.99833888850453545</c:v>
                </c:pt>
                <c:pt idx="10">
                  <c:v>0.99685076919798865</c:v>
                </c:pt>
                <c:pt idx="11">
                  <c:v>0.99403190884795445</c:v>
                </c:pt>
                <c:pt idx="12">
                  <c:v>0.98870000318069773</c:v>
                </c:pt>
                <c:pt idx="13">
                  <c:v>0.97864686803622136</c:v>
                </c:pt>
                <c:pt idx="14">
                  <c:v>0.95982538467280665</c:v>
                </c:pt>
                <c:pt idx="15">
                  <c:v>0.92512705484006208</c:v>
                </c:pt>
                <c:pt idx="16">
                  <c:v>0.86323195930299401</c:v>
                </c:pt>
                <c:pt idx="17">
                  <c:v>0.76000101689477173</c:v>
                </c:pt>
                <c:pt idx="18">
                  <c:v>0.60815171131295576</c:v>
                </c:pt>
                <c:pt idx="19">
                  <c:v>0.42565082250148245</c:v>
                </c:pt>
                <c:pt idx="20">
                  <c:v>0.25686721291665371</c:v>
                </c:pt>
                <c:pt idx="21">
                  <c:v>0.13681012326750519</c:v>
                </c:pt>
                <c:pt idx="22">
                  <c:v>6.7110874479454963E-2</c:v>
                </c:pt>
                <c:pt idx="23">
                  <c:v>3.1457259534366733E-2</c:v>
                </c:pt>
                <c:pt idx="24">
                  <c:v>1.4415036328376152E-2</c:v>
                </c:pt>
                <c:pt idx="25">
                  <c:v>6.5354046097677587E-3</c:v>
                </c:pt>
                <c:pt idx="26">
                  <c:v>2.9484794129613912E-3</c:v>
                </c:pt>
                <c:pt idx="27">
                  <c:v>1.3272611400154677E-3</c:v>
                </c:pt>
              </c:numCache>
            </c:numRef>
          </c:val>
          <c:smooth val="0"/>
          <c:extLst>
            <c:ext xmlns:c16="http://schemas.microsoft.com/office/drawing/2014/chart" uri="{C3380CC4-5D6E-409C-BE32-E72D297353CC}">
              <c16:uniqueId val="{0000000A-71F1-420A-891B-2CFE87D672A6}"/>
            </c:ext>
          </c:extLst>
        </c:ser>
        <c:ser>
          <c:idx val="10"/>
          <c:order val="12"/>
          <c:tx>
            <c:strRef>
              <c:f>Template_Cost_Calculator!$A$24</c:f>
              <c:strCache>
                <c:ptCount val="1"/>
                <c:pt idx="0">
                  <c:v>Market failure (av. utilization)</c:v>
                </c:pt>
              </c:strCache>
            </c:strRef>
          </c:tx>
          <c:spPr>
            <a:ln w="28575" cap="rnd">
              <a:solidFill>
                <a:schemeClr val="accent5">
                  <a:lumMod val="60000"/>
                </a:schemeClr>
              </a:solidFill>
              <a:round/>
            </a:ln>
            <a:effectLst/>
          </c:spPr>
          <c:marker>
            <c:symbol val="none"/>
          </c:marker>
          <c:cat>
            <c:numRef>
              <c:f>Template_Cost_Calculator!$Q$10:$AR$10</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Template_Cost_Calculator!$Q$24:$AR$24</c:f>
              <c:numCache>
                <c:formatCode>General</c:formatCode>
                <c:ptCount val="28"/>
                <c:pt idx="0">
                  <c:v>0.99999723922767647</c:v>
                </c:pt>
                <c:pt idx="1">
                  <c:v>0.99999476424865408</c:v>
                </c:pt>
                <c:pt idx="2">
                  <c:v>0.99999007050012179</c:v>
                </c:pt>
                <c:pt idx="3">
                  <c:v>0.99998116890363087</c:v>
                </c:pt>
                <c:pt idx="4">
                  <c:v>0.99996428722923425</c:v>
                </c:pt>
                <c:pt idx="5">
                  <c:v>0.99993227159641906</c:v>
                </c:pt>
                <c:pt idx="6">
                  <c:v>0.99987155515136772</c:v>
                </c:pt>
                <c:pt idx="7">
                  <c:v>0.99975641006619353</c:v>
                </c:pt>
                <c:pt idx="8">
                  <c:v>0.9995380501308736</c:v>
                </c:pt>
                <c:pt idx="9">
                  <c:v>0.99912397907241213</c:v>
                </c:pt>
                <c:pt idx="10">
                  <c:v>0.99833888850453545</c:v>
                </c:pt>
                <c:pt idx="11">
                  <c:v>0.99685076919798865</c:v>
                </c:pt>
                <c:pt idx="12">
                  <c:v>0.99403190884795445</c:v>
                </c:pt>
                <c:pt idx="13">
                  <c:v>0.98870000318069773</c:v>
                </c:pt>
                <c:pt idx="14">
                  <c:v>0.97864686803622136</c:v>
                </c:pt>
                <c:pt idx="15">
                  <c:v>0.95982538467280665</c:v>
                </c:pt>
                <c:pt idx="16">
                  <c:v>0.92512705484006208</c:v>
                </c:pt>
                <c:pt idx="17">
                  <c:v>0.86323195930299401</c:v>
                </c:pt>
                <c:pt idx="18">
                  <c:v>0.76000101689477173</c:v>
                </c:pt>
                <c:pt idx="19">
                  <c:v>0.60815171131295576</c:v>
                </c:pt>
                <c:pt idx="20">
                  <c:v>0.42565082250148245</c:v>
                </c:pt>
                <c:pt idx="21">
                  <c:v>0.25686721291665371</c:v>
                </c:pt>
                <c:pt idx="22">
                  <c:v>0.13681012326750519</c:v>
                </c:pt>
                <c:pt idx="23">
                  <c:v>6.7110874479454963E-2</c:v>
                </c:pt>
                <c:pt idx="24">
                  <c:v>3.1457259534366733E-2</c:v>
                </c:pt>
                <c:pt idx="25">
                  <c:v>1.4415036328376152E-2</c:v>
                </c:pt>
                <c:pt idx="26">
                  <c:v>6.5354046097677587E-3</c:v>
                </c:pt>
                <c:pt idx="27">
                  <c:v>2.9484794129613912E-3</c:v>
                </c:pt>
              </c:numCache>
            </c:numRef>
          </c:val>
          <c:smooth val="0"/>
          <c:extLst>
            <c:ext xmlns:c16="http://schemas.microsoft.com/office/drawing/2014/chart" uri="{C3380CC4-5D6E-409C-BE32-E72D297353CC}">
              <c16:uniqueId val="{0000000B-71F1-420A-891B-2CFE87D672A6}"/>
            </c:ext>
          </c:extLst>
        </c:ser>
        <c:ser>
          <c:idx val="11"/>
          <c:order val="13"/>
          <c:tx>
            <c:strRef>
              <c:f>Template_Cost_Calculator!$A$26</c:f>
              <c:strCache>
                <c:ptCount val="1"/>
                <c:pt idx="0">
                  <c:v>Annual Mileage</c:v>
                </c:pt>
              </c:strCache>
            </c:strRef>
          </c:tx>
          <c:spPr>
            <a:ln w="28575" cap="rnd">
              <a:solidFill>
                <a:schemeClr val="accent6">
                  <a:lumMod val="60000"/>
                </a:schemeClr>
              </a:solidFill>
              <a:round/>
            </a:ln>
            <a:effectLst/>
          </c:spPr>
          <c:marker>
            <c:symbol val="none"/>
          </c:marker>
          <c:cat>
            <c:numRef>
              <c:f>Template_Cost_Calculator!$Q$10:$AR$10</c:f>
              <c:numCache>
                <c:formatCode>General</c:formatCode>
                <c:ptCount val="28"/>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Template_Cost_Calculator!$Q$26:$AR$26</c:f>
              <c:numCache>
                <c:formatCode>General</c:formatCode>
                <c:ptCount val="28"/>
                <c:pt idx="0">
                  <c:v>0.99999923240226085</c:v>
                </c:pt>
                <c:pt idx="1">
                  <c:v>0.9999985442655972</c:v>
                </c:pt>
                <c:pt idx="2">
                  <c:v>0.99999723922767647</c:v>
                </c:pt>
                <c:pt idx="3">
                  <c:v>0.99999476424865408</c:v>
                </c:pt>
                <c:pt idx="4">
                  <c:v>0.99999007050012179</c:v>
                </c:pt>
                <c:pt idx="5">
                  <c:v>0.99998116890363087</c:v>
                </c:pt>
                <c:pt idx="6">
                  <c:v>0.99996428722923425</c:v>
                </c:pt>
                <c:pt idx="7">
                  <c:v>0.99993227159641906</c:v>
                </c:pt>
                <c:pt idx="8">
                  <c:v>0.99987155515136772</c:v>
                </c:pt>
                <c:pt idx="9">
                  <c:v>0.99975641006619353</c:v>
                </c:pt>
                <c:pt idx="10">
                  <c:v>0.9995380501308736</c:v>
                </c:pt>
                <c:pt idx="11">
                  <c:v>0.99912397907241213</c:v>
                </c:pt>
                <c:pt idx="12">
                  <c:v>0.99833888850453545</c:v>
                </c:pt>
                <c:pt idx="13">
                  <c:v>0.99685076919798865</c:v>
                </c:pt>
                <c:pt idx="14">
                  <c:v>0.99403190884795445</c:v>
                </c:pt>
                <c:pt idx="15">
                  <c:v>0.98870000318069773</c:v>
                </c:pt>
                <c:pt idx="16">
                  <c:v>0.97864686803622136</c:v>
                </c:pt>
                <c:pt idx="17">
                  <c:v>0.95982538467280665</c:v>
                </c:pt>
                <c:pt idx="18">
                  <c:v>0.92512705484006208</c:v>
                </c:pt>
                <c:pt idx="19">
                  <c:v>0.86323195930299401</c:v>
                </c:pt>
                <c:pt idx="20">
                  <c:v>0.76000101689477173</c:v>
                </c:pt>
                <c:pt idx="21">
                  <c:v>0.60815171131295576</c:v>
                </c:pt>
                <c:pt idx="22">
                  <c:v>0.42565082250148245</c:v>
                </c:pt>
                <c:pt idx="23">
                  <c:v>0.25686721291665371</c:v>
                </c:pt>
                <c:pt idx="24">
                  <c:v>0.13681012326750519</c:v>
                </c:pt>
                <c:pt idx="25">
                  <c:v>6.7110874479454963E-2</c:v>
                </c:pt>
                <c:pt idx="26">
                  <c:v>3.1457259534366733E-2</c:v>
                </c:pt>
                <c:pt idx="27">
                  <c:v>1.4415036328376152E-2</c:v>
                </c:pt>
              </c:numCache>
            </c:numRef>
          </c:val>
          <c:smooth val="0"/>
          <c:extLst>
            <c:ext xmlns:c16="http://schemas.microsoft.com/office/drawing/2014/chart" uri="{C3380CC4-5D6E-409C-BE32-E72D297353CC}">
              <c16:uniqueId val="{0000000C-71F1-420A-891B-2CFE87D672A6}"/>
            </c:ext>
          </c:extLst>
        </c:ser>
        <c:ser>
          <c:idx val="12"/>
          <c:order val="14"/>
          <c:tx>
            <c:strRef>
              <c:f>Template_Cost_Calculator!$A$17</c:f>
              <c:strCache>
                <c:ptCount val="1"/>
                <c:pt idx="0">
                  <c:v>Opex maintenance &amp; repair</c:v>
                </c:pt>
              </c:strCache>
            </c:strRef>
          </c:tx>
          <c:spPr>
            <a:ln w="28575" cap="rnd">
              <a:solidFill>
                <a:schemeClr val="accent1">
                  <a:lumMod val="80000"/>
                  <a:lumOff val="20000"/>
                </a:schemeClr>
              </a:solidFill>
              <a:round/>
            </a:ln>
            <a:effectLst/>
          </c:spPr>
          <c:marker>
            <c:symbol val="none"/>
          </c:marker>
          <c:val>
            <c:numRef>
              <c:f>Template_Cost_Calculator!$Q$17:$AR$17</c:f>
              <c:numCache>
                <c:formatCode>General</c:formatCode>
                <c:ptCount val="28"/>
                <c:pt idx="0">
                  <c:v>0.99975641006619353</c:v>
                </c:pt>
                <c:pt idx="1">
                  <c:v>0.9995380501308736</c:v>
                </c:pt>
                <c:pt idx="2">
                  <c:v>0.99912397907241213</c:v>
                </c:pt>
                <c:pt idx="3">
                  <c:v>0.99833888850453545</c:v>
                </c:pt>
                <c:pt idx="4">
                  <c:v>0.99685076919798865</c:v>
                </c:pt>
                <c:pt idx="5">
                  <c:v>0.99403190884795445</c:v>
                </c:pt>
                <c:pt idx="6">
                  <c:v>0.98870000318069773</c:v>
                </c:pt>
                <c:pt idx="7">
                  <c:v>0.97864686803622136</c:v>
                </c:pt>
                <c:pt idx="8">
                  <c:v>0.95982538467280665</c:v>
                </c:pt>
                <c:pt idx="9">
                  <c:v>0.92512705484006208</c:v>
                </c:pt>
                <c:pt idx="10">
                  <c:v>0.86323195930299401</c:v>
                </c:pt>
                <c:pt idx="11">
                  <c:v>0.76000101689477173</c:v>
                </c:pt>
                <c:pt idx="12">
                  <c:v>0.60815171131295576</c:v>
                </c:pt>
                <c:pt idx="13">
                  <c:v>0.42565082250148245</c:v>
                </c:pt>
                <c:pt idx="14">
                  <c:v>0.25686721291665371</c:v>
                </c:pt>
                <c:pt idx="15">
                  <c:v>0.13681012326750519</c:v>
                </c:pt>
                <c:pt idx="16">
                  <c:v>6.7110874479454963E-2</c:v>
                </c:pt>
                <c:pt idx="17">
                  <c:v>3.1457259534366733E-2</c:v>
                </c:pt>
                <c:pt idx="18">
                  <c:v>1.4415036328376152E-2</c:v>
                </c:pt>
                <c:pt idx="19">
                  <c:v>6.5354046097677587E-3</c:v>
                </c:pt>
                <c:pt idx="20">
                  <c:v>2.9484794129613912E-3</c:v>
                </c:pt>
                <c:pt idx="21">
                  <c:v>1.3272611400154677E-3</c:v>
                </c:pt>
                <c:pt idx="22">
                  <c:v>5.9686760508315118E-4</c:v>
                </c:pt>
                <c:pt idx="23">
                  <c:v>2.6828910235687786E-4</c:v>
                </c:pt>
                <c:pt idx="24">
                  <c:v>1.2057010364630028E-4</c:v>
                </c:pt>
                <c:pt idx="25">
                  <c:v>5.4179686630462243E-5</c:v>
                </c:pt>
                <c:pt idx="26">
                  <c:v>2.4345319607821381E-5</c:v>
                </c:pt>
                <c:pt idx="27">
                  <c:v>1.0939222225947454E-5</c:v>
                </c:pt>
              </c:numCache>
            </c:numRef>
          </c:val>
          <c:smooth val="0"/>
          <c:extLst>
            <c:ext xmlns:c16="http://schemas.microsoft.com/office/drawing/2014/chart" uri="{C3380CC4-5D6E-409C-BE32-E72D297353CC}">
              <c16:uniqueId val="{00000000-A5EE-4752-B232-216416889498}"/>
            </c:ext>
          </c:extLst>
        </c:ser>
        <c:dLbls>
          <c:showLegendKey val="0"/>
          <c:showVal val="0"/>
          <c:showCatName val="0"/>
          <c:showSerName val="0"/>
          <c:showPercent val="0"/>
          <c:showBubbleSize val="0"/>
        </c:dLbls>
        <c:smooth val="0"/>
        <c:axId val="585978288"/>
        <c:axId val="585975008"/>
      </c:lineChart>
      <c:catAx>
        <c:axId val="58597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975008"/>
        <c:crosses val="autoZero"/>
        <c:auto val="1"/>
        <c:lblAlgn val="ctr"/>
        <c:lblOffset val="100"/>
        <c:tickLblSkip val="5"/>
        <c:noMultiLvlLbl val="0"/>
      </c:catAx>
      <c:valAx>
        <c:axId val="585975008"/>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sz="900"/>
                  <a:t>Sigmoid</a:t>
                </a:r>
                <a:r>
                  <a:rPr lang="en-GB" sz="900" baseline="0"/>
                  <a:t> function | Cost change factor</a:t>
                </a:r>
                <a:endParaRPr lang="en-GB" sz="900"/>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978288"/>
        <c:crosses val="autoZero"/>
        <c:crossBetween val="between"/>
        <c:majorUnit val="1"/>
        <c:minorUnit val="1"/>
      </c:valAx>
      <c:spPr>
        <a:noFill/>
        <a:ln>
          <a:noFill/>
        </a:ln>
        <a:effectLst/>
      </c:spPr>
    </c:plotArea>
    <c:legend>
      <c:legendPos val="r"/>
      <c:layout>
        <c:manualLayout>
          <c:xMode val="edge"/>
          <c:yMode val="edge"/>
          <c:x val="0.69866120874078397"/>
          <c:y val="4.2210478420164732E-2"/>
          <c:w val="0.22532778907015893"/>
          <c:h val="0.8836109786917254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2103410310143412E-2"/>
          <c:y val="5.0855293573740176E-2"/>
          <c:w val="0.93825689484091068"/>
          <c:h val="0.52179970222168826"/>
        </c:manualLayout>
      </c:layout>
      <c:barChart>
        <c:barDir val="bar"/>
        <c:grouping val="stacked"/>
        <c:varyColors val="0"/>
        <c:ser>
          <c:idx val="0"/>
          <c:order val="0"/>
          <c:tx>
            <c:strRef>
              <c:f>Template_Cost_Calculator!$A$70</c:f>
              <c:strCache>
                <c:ptCount val="1"/>
                <c:pt idx="0">
                  <c:v>Capex vehicle</c:v>
                </c:pt>
              </c:strCache>
            </c:strRef>
          </c:tx>
          <c:spPr>
            <a:solidFill>
              <a:schemeClr val="accent1"/>
            </a:solidFill>
            <a:ln>
              <a:noFill/>
            </a:ln>
            <a:effectLst/>
          </c:spPr>
          <c:invertIfNegative val="0"/>
          <c:cat>
            <c:numRef>
              <c:f>(Template_Cost_Calculator!$B$69,Template_Cost_Calculator!$N$69,Template_Cost_Calculator!$AC$69)</c:f>
              <c:numCache>
                <c:formatCode>General</c:formatCode>
                <c:ptCount val="3"/>
                <c:pt idx="0">
                  <c:v>2023</c:v>
                </c:pt>
                <c:pt idx="1">
                  <c:v>2035</c:v>
                </c:pt>
                <c:pt idx="2">
                  <c:v>2050</c:v>
                </c:pt>
              </c:numCache>
            </c:numRef>
          </c:cat>
          <c:val>
            <c:numRef>
              <c:f>(Template_Cost_Calculator!$B$70,Template_Cost_Calculator!$N$70,Template_Cost_Calculator!$AC$70)</c:f>
              <c:numCache>
                <c:formatCode>0.00</c:formatCode>
                <c:ptCount val="3"/>
                <c:pt idx="0">
                  <c:v>7.7962693080850364E-3</c:v>
                </c:pt>
                <c:pt idx="1">
                  <c:v>7.7962693080850364E-3</c:v>
                </c:pt>
                <c:pt idx="2">
                  <c:v>7.7962693080850364E-3</c:v>
                </c:pt>
              </c:numCache>
            </c:numRef>
          </c:val>
          <c:extLst>
            <c:ext xmlns:c16="http://schemas.microsoft.com/office/drawing/2014/chart" uri="{C3380CC4-5D6E-409C-BE32-E72D297353CC}">
              <c16:uniqueId val="{00000000-B443-40E9-BC88-58E4E384C134}"/>
            </c:ext>
          </c:extLst>
        </c:ser>
        <c:ser>
          <c:idx val="1"/>
          <c:order val="1"/>
          <c:tx>
            <c:strRef>
              <c:f>Template_Cost_Calculator!$A$71</c:f>
              <c:strCache>
                <c:ptCount val="1"/>
                <c:pt idx="0">
                  <c:v>Residual value (vehicle)</c:v>
                </c:pt>
              </c:strCache>
            </c:strRef>
          </c:tx>
          <c:spPr>
            <a:solidFill>
              <a:schemeClr val="accent2"/>
            </a:solidFill>
            <a:ln>
              <a:noFill/>
            </a:ln>
            <a:effectLst/>
          </c:spPr>
          <c:invertIfNegative val="0"/>
          <c:cat>
            <c:numRef>
              <c:f>(Template_Cost_Calculator!$B$69,Template_Cost_Calculator!$N$69,Template_Cost_Calculator!$AC$69)</c:f>
              <c:numCache>
                <c:formatCode>General</c:formatCode>
                <c:ptCount val="3"/>
                <c:pt idx="0">
                  <c:v>2023</c:v>
                </c:pt>
                <c:pt idx="1">
                  <c:v>2035</c:v>
                </c:pt>
                <c:pt idx="2">
                  <c:v>2050</c:v>
                </c:pt>
              </c:numCache>
            </c:numRef>
          </c:cat>
          <c:val>
            <c:numRef>
              <c:f>(Template_Cost_Calculator!$B$71,Template_Cost_Calculator!$N$71,Template_Cost_Calculator!$AC$71)</c:f>
              <c:numCache>
                <c:formatCode>0.00</c:formatCode>
                <c:ptCount val="3"/>
                <c:pt idx="0" formatCode="0.000">
                  <c:v>-2.3388807924255108E-3</c:v>
                </c:pt>
                <c:pt idx="1">
                  <c:v>-2.3388807924255108E-3</c:v>
                </c:pt>
                <c:pt idx="2">
                  <c:v>-2.3388807924255108E-3</c:v>
                </c:pt>
              </c:numCache>
            </c:numRef>
          </c:val>
          <c:extLst>
            <c:ext xmlns:c16="http://schemas.microsoft.com/office/drawing/2014/chart" uri="{C3380CC4-5D6E-409C-BE32-E72D297353CC}">
              <c16:uniqueId val="{00000001-B443-40E9-BC88-58E4E384C134}"/>
            </c:ext>
          </c:extLst>
        </c:ser>
        <c:ser>
          <c:idx val="2"/>
          <c:order val="2"/>
          <c:tx>
            <c:strRef>
              <c:f>Template_Cost_Calculator!$A$72</c:f>
              <c:strCache>
                <c:ptCount val="1"/>
                <c:pt idx="0">
                  <c:v>Capex costumization</c:v>
                </c:pt>
              </c:strCache>
            </c:strRef>
          </c:tx>
          <c:spPr>
            <a:solidFill>
              <a:schemeClr val="accent3"/>
            </a:solidFill>
            <a:ln>
              <a:noFill/>
            </a:ln>
            <a:effectLst/>
          </c:spPr>
          <c:invertIfNegative val="0"/>
          <c:cat>
            <c:numRef>
              <c:f>(Template_Cost_Calculator!$B$69,Template_Cost_Calculator!$N$69,Template_Cost_Calculator!$AC$69)</c:f>
              <c:numCache>
                <c:formatCode>General</c:formatCode>
                <c:ptCount val="3"/>
                <c:pt idx="0">
                  <c:v>2023</c:v>
                </c:pt>
                <c:pt idx="1">
                  <c:v>2035</c:v>
                </c:pt>
                <c:pt idx="2">
                  <c:v>2050</c:v>
                </c:pt>
              </c:numCache>
            </c:numRef>
          </c:cat>
          <c:val>
            <c:numRef>
              <c:f>(Template_Cost_Calculator!$B$72,Template_Cost_Calculator!$N$72,Template_Cost_Calculator!$AC$72)</c:f>
              <c:numCache>
                <c:formatCode>0.00</c:formatCode>
                <c:ptCount val="3"/>
                <c:pt idx="0">
                  <c:v>1.9585719110125381E-3</c:v>
                </c:pt>
                <c:pt idx="1">
                  <c:v>1.9585719110125381E-3</c:v>
                </c:pt>
                <c:pt idx="2">
                  <c:v>1.9585719110125381E-3</c:v>
                </c:pt>
              </c:numCache>
            </c:numRef>
          </c:val>
          <c:extLst>
            <c:ext xmlns:c16="http://schemas.microsoft.com/office/drawing/2014/chart" uri="{C3380CC4-5D6E-409C-BE32-E72D297353CC}">
              <c16:uniqueId val="{00000002-B443-40E9-BC88-58E4E384C134}"/>
            </c:ext>
          </c:extLst>
        </c:ser>
        <c:ser>
          <c:idx val="3"/>
          <c:order val="3"/>
          <c:tx>
            <c:strRef>
              <c:f>Template_Cost_Calculator!$A$73</c:f>
              <c:strCache>
                <c:ptCount val="1"/>
                <c:pt idx="0">
                  <c:v>Residual value (costumization)</c:v>
                </c:pt>
              </c:strCache>
            </c:strRef>
          </c:tx>
          <c:spPr>
            <a:solidFill>
              <a:schemeClr val="accent4"/>
            </a:solidFill>
            <a:ln>
              <a:noFill/>
            </a:ln>
            <a:effectLst/>
          </c:spPr>
          <c:invertIfNegative val="0"/>
          <c:cat>
            <c:numRef>
              <c:f>(Template_Cost_Calculator!$B$69,Template_Cost_Calculator!$N$69,Template_Cost_Calculator!$AC$69)</c:f>
              <c:numCache>
                <c:formatCode>General</c:formatCode>
                <c:ptCount val="3"/>
                <c:pt idx="0">
                  <c:v>2023</c:v>
                </c:pt>
                <c:pt idx="1">
                  <c:v>2035</c:v>
                </c:pt>
                <c:pt idx="2">
                  <c:v>2050</c:v>
                </c:pt>
              </c:numCache>
            </c:numRef>
          </c:cat>
          <c:val>
            <c:numRef>
              <c:f>(Template_Cost_Calculator!$B$73,Template_Cost_Calculator!$N$73,Template_Cost_Calculator!$AC$73)</c:f>
              <c:numCache>
                <c:formatCode>0.00</c:formatCode>
                <c:ptCount val="3"/>
                <c:pt idx="0" formatCode="0.0000">
                  <c:v>-1.9585719110125376E-4</c:v>
                </c:pt>
                <c:pt idx="1">
                  <c:v>-1.9585719110125376E-4</c:v>
                </c:pt>
                <c:pt idx="2">
                  <c:v>-1.9585719110125376E-4</c:v>
                </c:pt>
              </c:numCache>
            </c:numRef>
          </c:val>
          <c:extLst>
            <c:ext xmlns:c16="http://schemas.microsoft.com/office/drawing/2014/chart" uri="{C3380CC4-5D6E-409C-BE32-E72D297353CC}">
              <c16:uniqueId val="{00000003-B443-40E9-BC88-58E4E384C134}"/>
            </c:ext>
          </c:extLst>
        </c:ser>
        <c:ser>
          <c:idx val="4"/>
          <c:order val="4"/>
          <c:tx>
            <c:strRef>
              <c:f>Template_Cost_Calculator!$A$74</c:f>
              <c:strCache>
                <c:ptCount val="1"/>
                <c:pt idx="0">
                  <c:v>Opex fix (admin, crew, insurance)</c:v>
                </c:pt>
              </c:strCache>
            </c:strRef>
          </c:tx>
          <c:spPr>
            <a:solidFill>
              <a:schemeClr val="accent5"/>
            </a:solidFill>
            <a:ln>
              <a:noFill/>
            </a:ln>
            <a:effectLst/>
          </c:spPr>
          <c:invertIfNegative val="0"/>
          <c:cat>
            <c:numRef>
              <c:f>(Template_Cost_Calculator!$B$69,Template_Cost_Calculator!$N$69,Template_Cost_Calculator!$AC$69)</c:f>
              <c:numCache>
                <c:formatCode>General</c:formatCode>
                <c:ptCount val="3"/>
                <c:pt idx="0">
                  <c:v>2023</c:v>
                </c:pt>
                <c:pt idx="1">
                  <c:v>2035</c:v>
                </c:pt>
                <c:pt idx="2">
                  <c:v>2050</c:v>
                </c:pt>
              </c:numCache>
            </c:numRef>
          </c:cat>
          <c:val>
            <c:numRef>
              <c:f>(Template_Cost_Calculator!$B$74,Template_Cost_Calculator!$N$74,Template_Cost_Calculator!$AC$74)</c:f>
              <c:numCache>
                <c:formatCode>0.00</c:formatCode>
                <c:ptCount val="3"/>
                <c:pt idx="0">
                  <c:v>2.7914614121510674E-2</c:v>
                </c:pt>
                <c:pt idx="1">
                  <c:v>2.7914614121510674E-2</c:v>
                </c:pt>
                <c:pt idx="2">
                  <c:v>2.7914614121510674E-2</c:v>
                </c:pt>
              </c:numCache>
            </c:numRef>
          </c:val>
          <c:extLst>
            <c:ext xmlns:c16="http://schemas.microsoft.com/office/drawing/2014/chart" uri="{C3380CC4-5D6E-409C-BE32-E72D297353CC}">
              <c16:uniqueId val="{00000004-B443-40E9-BC88-58E4E384C134}"/>
            </c:ext>
          </c:extLst>
        </c:ser>
        <c:ser>
          <c:idx val="5"/>
          <c:order val="5"/>
          <c:tx>
            <c:strRef>
              <c:f>Template_Cost_Calculator!$A$75</c:f>
              <c:strCache>
                <c:ptCount val="1"/>
                <c:pt idx="0">
                  <c:v>Opex maintenance &amp; repair</c:v>
                </c:pt>
              </c:strCache>
            </c:strRef>
          </c:tx>
          <c:spPr>
            <a:solidFill>
              <a:schemeClr val="accent6"/>
            </a:solidFill>
            <a:ln>
              <a:noFill/>
            </a:ln>
            <a:effectLst/>
          </c:spPr>
          <c:invertIfNegative val="0"/>
          <c:cat>
            <c:numRef>
              <c:f>(Template_Cost_Calculator!$B$69,Template_Cost_Calculator!$N$69,Template_Cost_Calculator!$AC$69)</c:f>
              <c:numCache>
                <c:formatCode>General</c:formatCode>
                <c:ptCount val="3"/>
                <c:pt idx="0">
                  <c:v>2023</c:v>
                </c:pt>
                <c:pt idx="1">
                  <c:v>2035</c:v>
                </c:pt>
                <c:pt idx="2">
                  <c:v>2050</c:v>
                </c:pt>
              </c:numCache>
            </c:numRef>
          </c:cat>
          <c:val>
            <c:numRef>
              <c:f>(Template_Cost_Calculator!$B$75,Template_Cost_Calculator!$N$75,Template_Cost_Calculator!$AC$75)</c:f>
              <c:numCache>
                <c:formatCode>0.00</c:formatCode>
                <c:ptCount val="3"/>
                <c:pt idx="0">
                  <c:v>6.5681444991789817E-3</c:v>
                </c:pt>
                <c:pt idx="1">
                  <c:v>6.5681444991789817E-3</c:v>
                </c:pt>
                <c:pt idx="2">
                  <c:v>6.5681444991789817E-3</c:v>
                </c:pt>
              </c:numCache>
            </c:numRef>
          </c:val>
          <c:extLst>
            <c:ext xmlns:c16="http://schemas.microsoft.com/office/drawing/2014/chart" uri="{C3380CC4-5D6E-409C-BE32-E72D297353CC}">
              <c16:uniqueId val="{00000005-B443-40E9-BC88-58E4E384C134}"/>
            </c:ext>
          </c:extLst>
        </c:ser>
        <c:ser>
          <c:idx val="6"/>
          <c:order val="6"/>
          <c:tx>
            <c:strRef>
              <c:f>Template_Cost_Calculator!$A$76</c:f>
              <c:strCache>
                <c:ptCount val="1"/>
                <c:pt idx="0">
                  <c:v>Opex var (mode-fees, cargo handling)</c:v>
                </c:pt>
              </c:strCache>
            </c:strRef>
          </c:tx>
          <c:spPr>
            <a:solidFill>
              <a:schemeClr val="accent1">
                <a:lumMod val="60000"/>
              </a:schemeClr>
            </a:solidFill>
            <a:ln>
              <a:noFill/>
            </a:ln>
            <a:effectLst/>
          </c:spPr>
          <c:invertIfNegative val="0"/>
          <c:cat>
            <c:numRef>
              <c:f>(Template_Cost_Calculator!$B$69,Template_Cost_Calculator!$N$69,Template_Cost_Calculator!$AC$69)</c:f>
              <c:numCache>
                <c:formatCode>General</c:formatCode>
                <c:ptCount val="3"/>
                <c:pt idx="0">
                  <c:v>2023</c:v>
                </c:pt>
                <c:pt idx="1">
                  <c:v>2035</c:v>
                </c:pt>
                <c:pt idx="2">
                  <c:v>2050</c:v>
                </c:pt>
              </c:numCache>
            </c:numRef>
          </c:cat>
          <c:val>
            <c:numRef>
              <c:f>(Template_Cost_Calculator!$B$76,Template_Cost_Calculator!$N$76,Template_Cost_Calculator!$AC$76)</c:f>
              <c:numCache>
                <c:formatCode>0.00</c:formatCode>
                <c:ptCount val="3"/>
                <c:pt idx="0">
                  <c:v>3.2840722495894911E-4</c:v>
                </c:pt>
                <c:pt idx="1">
                  <c:v>3.2840722495894911E-4</c:v>
                </c:pt>
                <c:pt idx="2">
                  <c:v>3.2840722495894911E-4</c:v>
                </c:pt>
              </c:numCache>
            </c:numRef>
          </c:val>
          <c:extLst>
            <c:ext xmlns:c16="http://schemas.microsoft.com/office/drawing/2014/chart" uri="{C3380CC4-5D6E-409C-BE32-E72D297353CC}">
              <c16:uniqueId val="{00000006-B443-40E9-BC88-58E4E384C134}"/>
            </c:ext>
          </c:extLst>
        </c:ser>
        <c:ser>
          <c:idx val="7"/>
          <c:order val="7"/>
          <c:tx>
            <c:strRef>
              <c:f>Template_Cost_Calculator!$A$77</c:f>
              <c:strCache>
                <c:ptCount val="1"/>
                <c:pt idx="0">
                  <c:v>Fuel Cost</c:v>
                </c:pt>
              </c:strCache>
            </c:strRef>
          </c:tx>
          <c:spPr>
            <a:solidFill>
              <a:schemeClr val="accent2">
                <a:lumMod val="60000"/>
              </a:schemeClr>
            </a:solidFill>
            <a:ln>
              <a:noFill/>
            </a:ln>
            <a:effectLst/>
          </c:spPr>
          <c:invertIfNegative val="0"/>
          <c:cat>
            <c:numRef>
              <c:f>(Template_Cost_Calculator!$B$69,Template_Cost_Calculator!$N$69,Template_Cost_Calculator!$AC$69)</c:f>
              <c:numCache>
                <c:formatCode>General</c:formatCode>
                <c:ptCount val="3"/>
                <c:pt idx="0">
                  <c:v>2023</c:v>
                </c:pt>
                <c:pt idx="1">
                  <c:v>2035</c:v>
                </c:pt>
                <c:pt idx="2">
                  <c:v>2050</c:v>
                </c:pt>
              </c:numCache>
            </c:numRef>
          </c:cat>
          <c:val>
            <c:numRef>
              <c:f>(Template_Cost_Calculator!$B$77,Template_Cost_Calculator!$N$77,Template_Cost_Calculator!$AC$77)</c:f>
              <c:numCache>
                <c:formatCode>0.00</c:formatCode>
                <c:ptCount val="3"/>
                <c:pt idx="0">
                  <c:v>1.4482758620689654E-2</c:v>
                </c:pt>
                <c:pt idx="1">
                  <c:v>1.4482758620689654E-2</c:v>
                </c:pt>
                <c:pt idx="2">
                  <c:v>1.4482758620689654E-2</c:v>
                </c:pt>
              </c:numCache>
            </c:numRef>
          </c:val>
          <c:extLst>
            <c:ext xmlns:c16="http://schemas.microsoft.com/office/drawing/2014/chart" uri="{C3380CC4-5D6E-409C-BE32-E72D297353CC}">
              <c16:uniqueId val="{00000007-B443-40E9-BC88-58E4E384C134}"/>
            </c:ext>
          </c:extLst>
        </c:ser>
        <c:ser>
          <c:idx val="8"/>
          <c:order val="8"/>
          <c:tx>
            <c:strRef>
              <c:f>Template_Cost_Calculator!$A$78</c:f>
              <c:strCache>
                <c:ptCount val="1"/>
                <c:pt idx="0">
                  <c:v>Market failure (av. utilization)</c:v>
                </c:pt>
              </c:strCache>
            </c:strRef>
          </c:tx>
          <c:spPr>
            <a:solidFill>
              <a:schemeClr val="accent3">
                <a:lumMod val="60000"/>
              </a:schemeClr>
            </a:solidFill>
            <a:ln>
              <a:noFill/>
            </a:ln>
            <a:effectLst/>
          </c:spPr>
          <c:invertIfNegative val="0"/>
          <c:cat>
            <c:numRef>
              <c:f>(Template_Cost_Calculator!$B$69,Template_Cost_Calculator!$N$69,Template_Cost_Calculator!$AC$69)</c:f>
              <c:numCache>
                <c:formatCode>General</c:formatCode>
                <c:ptCount val="3"/>
                <c:pt idx="0">
                  <c:v>2023</c:v>
                </c:pt>
                <c:pt idx="1">
                  <c:v>2035</c:v>
                </c:pt>
                <c:pt idx="2">
                  <c:v>2050</c:v>
                </c:pt>
              </c:numCache>
            </c:numRef>
          </c:cat>
          <c:val>
            <c:numRef>
              <c:f>(Template_Cost_Calculator!$B$78,Template_Cost_Calculator!$N$78,Template_Cost_Calculator!$AC$78)</c:f>
              <c:numCache>
                <c:formatCode>0.00</c:formatCode>
                <c:ptCount val="3"/>
                <c:pt idx="0">
                  <c:v>6.6802392881348371E-2</c:v>
                </c:pt>
                <c:pt idx="1">
                  <c:v>6.6802392881348371E-2</c:v>
                </c:pt>
                <c:pt idx="2">
                  <c:v>6.6802392881348371E-2</c:v>
                </c:pt>
              </c:numCache>
            </c:numRef>
          </c:val>
          <c:extLst>
            <c:ext xmlns:c16="http://schemas.microsoft.com/office/drawing/2014/chart" uri="{C3380CC4-5D6E-409C-BE32-E72D297353CC}">
              <c16:uniqueId val="{00000008-B443-40E9-BC88-58E4E384C134}"/>
            </c:ext>
          </c:extLst>
        </c:ser>
        <c:ser>
          <c:idx val="9"/>
          <c:order val="9"/>
          <c:tx>
            <c:strRef>
              <c:f>Template_Cost_Calculator!$A$79</c:f>
              <c:strCache>
                <c:ptCount val="1"/>
                <c:pt idx="0">
                  <c:v>Payload loss (fuel)</c:v>
                </c:pt>
              </c:strCache>
            </c:strRef>
          </c:tx>
          <c:spPr>
            <a:solidFill>
              <a:schemeClr val="accent4">
                <a:lumMod val="60000"/>
              </a:schemeClr>
            </a:solidFill>
            <a:ln>
              <a:noFill/>
            </a:ln>
            <a:effectLst/>
          </c:spPr>
          <c:invertIfNegative val="0"/>
          <c:cat>
            <c:numRef>
              <c:f>(Template_Cost_Calculator!$B$69,Template_Cost_Calculator!$N$69,Template_Cost_Calculator!$AC$69)</c:f>
              <c:numCache>
                <c:formatCode>General</c:formatCode>
                <c:ptCount val="3"/>
                <c:pt idx="0">
                  <c:v>2023</c:v>
                </c:pt>
                <c:pt idx="1">
                  <c:v>2035</c:v>
                </c:pt>
                <c:pt idx="2">
                  <c:v>2050</c:v>
                </c:pt>
              </c:numCache>
            </c:numRef>
          </c:cat>
          <c:val>
            <c:numRef>
              <c:f>(Template_Cost_Calculator!$B$79,Template_Cost_Calculator!$N$79,Template_Cost_Calculator!$AC$79)</c:f>
              <c:numCache>
                <c:formatCode>0.00</c:formatCode>
                <c:ptCount val="3"/>
                <c:pt idx="0">
                  <c:v>1.5086357922617075E-2</c:v>
                </c:pt>
                <c:pt idx="1">
                  <c:v>1.5086357922617075E-2</c:v>
                </c:pt>
                <c:pt idx="2">
                  <c:v>1.5086357922617075E-2</c:v>
                </c:pt>
              </c:numCache>
            </c:numRef>
          </c:val>
          <c:extLst>
            <c:ext xmlns:c16="http://schemas.microsoft.com/office/drawing/2014/chart" uri="{C3380CC4-5D6E-409C-BE32-E72D297353CC}">
              <c16:uniqueId val="{00000009-B443-40E9-BC88-58E4E384C134}"/>
            </c:ext>
          </c:extLst>
        </c:ser>
        <c:dLbls>
          <c:showLegendKey val="0"/>
          <c:showVal val="0"/>
          <c:showCatName val="0"/>
          <c:showSerName val="0"/>
          <c:showPercent val="0"/>
          <c:showBubbleSize val="0"/>
        </c:dLbls>
        <c:gapWidth val="150"/>
        <c:overlap val="100"/>
        <c:axId val="587983072"/>
        <c:axId val="587983400"/>
      </c:barChart>
      <c:catAx>
        <c:axId val="587983072"/>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j-lt"/>
                <a:ea typeface="+mn-ea"/>
                <a:cs typeface="Arial" panose="020B0604020202020204" pitchFamily="34" charset="0"/>
              </a:defRPr>
            </a:pPr>
            <a:endParaRPr lang="en-US"/>
          </a:p>
        </c:txPr>
        <c:crossAx val="587983400"/>
        <c:crosses val="autoZero"/>
        <c:auto val="1"/>
        <c:lblAlgn val="ctr"/>
        <c:lblOffset val="100"/>
        <c:noMultiLvlLbl val="0"/>
      </c:catAx>
      <c:valAx>
        <c:axId val="587983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ysClr val="windowText" lastClr="000000"/>
                    </a:solidFill>
                    <a:latin typeface="+mj-lt"/>
                    <a:ea typeface="+mn-ea"/>
                    <a:cs typeface="Arial" panose="020B0604020202020204" pitchFamily="34" charset="0"/>
                  </a:defRPr>
                </a:pPr>
                <a:r>
                  <a:rPr lang="en-GB"/>
                  <a:t>Levelized cost of transport [€/tkm}</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j-lt"/>
                  <a:ea typeface="+mn-ea"/>
                  <a:cs typeface="Arial" panose="020B0604020202020204" pitchFamily="34"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j-lt"/>
                <a:ea typeface="+mn-ea"/>
                <a:cs typeface="Arial" panose="020B0604020202020204" pitchFamily="34" charset="0"/>
              </a:defRPr>
            </a:pPr>
            <a:endParaRPr lang="en-US"/>
          </a:p>
        </c:txPr>
        <c:crossAx val="587983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mj-lt"/>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mj-lt"/>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FIGURES!$A$6</c:f>
              <c:strCache>
                <c:ptCount val="1"/>
                <c:pt idx="0">
                  <c:v>Capex vehicle</c:v>
                </c:pt>
              </c:strCache>
            </c:strRef>
          </c:tx>
          <c:spPr>
            <a:solidFill>
              <a:schemeClr val="accent1"/>
            </a:solidFill>
            <a:ln>
              <a:noFill/>
            </a:ln>
            <a:effectLst/>
          </c:spPr>
          <c:invertIfNegative val="0"/>
          <c:cat>
            <c:multiLvlStrRef>
              <c:f>FIGURES!$B$4:$FJ$5</c:f>
              <c:multiLvlStrCache>
                <c:ptCount val="165"/>
                <c:lvl>
                  <c:pt idx="0">
                    <c:v>Sea - Dry bulk - Heavy fuel oil</c:v>
                  </c:pt>
                  <c:pt idx="1">
                    <c:v>Sea - Dry bulk - Maritime gas oil</c:v>
                  </c:pt>
                  <c:pt idx="2">
                    <c:v>Sea - Dry bulk - Hydrogen</c:v>
                  </c:pt>
                  <c:pt idx="3">
                    <c:v>Sea - Dry bulk - Ammonia</c:v>
                  </c:pt>
                  <c:pt idx="4">
                    <c:v>Sea - Dry bulk - Methanol</c:v>
                  </c:pt>
                  <c:pt idx="5">
                    <c:v>Sea - Container - Heavy fuel oil</c:v>
                  </c:pt>
                  <c:pt idx="6">
                    <c:v>Sea - Container - Maritime gas oil</c:v>
                  </c:pt>
                  <c:pt idx="7">
                    <c:v>Sea - Container - Hydrogen</c:v>
                  </c:pt>
                  <c:pt idx="8">
                    <c:v>Sea - Container - Ammonia</c:v>
                  </c:pt>
                  <c:pt idx="9">
                    <c:v>Sea - Container - Methanol</c:v>
                  </c:pt>
                  <c:pt idx="10">
                    <c:v>Sea - Break bulk - Heavy fuel oil</c:v>
                  </c:pt>
                  <c:pt idx="11">
                    <c:v>Sea - Break bulk - Maritime gas oil</c:v>
                  </c:pt>
                  <c:pt idx="12">
                    <c:v>Sea - Break bulk - Hydrogen</c:v>
                  </c:pt>
                  <c:pt idx="13">
                    <c:v>Sea - Break bulk - Ammonia</c:v>
                  </c:pt>
                  <c:pt idx="14">
                    <c:v>Sea - Break bulk - Methanol</c:v>
                  </c:pt>
                  <c:pt idx="15">
                    <c:v>Sea - Neon bulk - Heavy fuel oil</c:v>
                  </c:pt>
                  <c:pt idx="16">
                    <c:v>Sea - Neon bulk - Maritime gas oil</c:v>
                  </c:pt>
                  <c:pt idx="17">
                    <c:v>Sea - Neon bulk - Hydrogen</c:v>
                  </c:pt>
                  <c:pt idx="18">
                    <c:v>Sea - Neon bulk - Ammoina</c:v>
                  </c:pt>
                  <c:pt idx="19">
                    <c:v>Sea - Neon bulk - Methanol</c:v>
                  </c:pt>
                  <c:pt idx="20">
                    <c:v>Rail - Dry bulk - Diesel</c:v>
                  </c:pt>
                  <c:pt idx="21">
                    <c:v>Rail - Dry bulk - Catenary</c:v>
                  </c:pt>
                  <c:pt idx="22">
                    <c:v>Rail - Dry bulk - Battery</c:v>
                  </c:pt>
                  <c:pt idx="23">
                    <c:v>Rail - Dry bulk - Hydrogen</c:v>
                  </c:pt>
                  <c:pt idx="24">
                    <c:v>Rail - Liquid bulk - Diesel</c:v>
                  </c:pt>
                  <c:pt idx="25">
                    <c:v>Rail - Liquid bulk - Catenary</c:v>
                  </c:pt>
                  <c:pt idx="26">
                    <c:v>Rail - Liquid bulk - Battery</c:v>
                  </c:pt>
                  <c:pt idx="27">
                    <c:v>Rail - Liquid bulk - Hydrogen</c:v>
                  </c:pt>
                  <c:pt idx="28">
                    <c:v>Rail - Container - Diesel</c:v>
                  </c:pt>
                  <c:pt idx="29">
                    <c:v>Rail - Container - Catenary</c:v>
                  </c:pt>
                  <c:pt idx="30">
                    <c:v>Rail - Container - Battery</c:v>
                  </c:pt>
                  <c:pt idx="31">
                    <c:v>Rail - Container - Hydrogen</c:v>
                  </c:pt>
                  <c:pt idx="32">
                    <c:v>Rail - Break bulk - Diesel</c:v>
                  </c:pt>
                  <c:pt idx="33">
                    <c:v>Rail - Break bulk - Catenary</c:v>
                  </c:pt>
                  <c:pt idx="34">
                    <c:v>Rail - Break bulk - Battery</c:v>
                  </c:pt>
                  <c:pt idx="35">
                    <c:v>Rail - Break bulk - Hydrogen</c:v>
                  </c:pt>
                  <c:pt idx="36">
                    <c:v>Rail - Neon bulk - Diesel</c:v>
                  </c:pt>
                  <c:pt idx="37">
                    <c:v>Rail - Neon bulk - Catenary</c:v>
                  </c:pt>
                  <c:pt idx="38">
                    <c:v>Rail - Neon bulk - Battery</c:v>
                  </c:pt>
                  <c:pt idx="39">
                    <c:v>Rail - Neon bulk - Hydrogen</c:v>
                  </c:pt>
                  <c:pt idx="40">
                    <c:v>Road - Dry bulk - Diesel</c:v>
                  </c:pt>
                  <c:pt idx="41">
                    <c:v>Road - Dry bulk - Battery</c:v>
                  </c:pt>
                  <c:pt idx="42">
                    <c:v>Road - Dry bulk - Hydrogen</c:v>
                  </c:pt>
                  <c:pt idx="43">
                    <c:v>Road - Liquid bulk - Diesel</c:v>
                  </c:pt>
                  <c:pt idx="44">
                    <c:v>Road - Liquid bulk - Battery</c:v>
                  </c:pt>
                  <c:pt idx="45">
                    <c:v>Road - Liquid bulk - Hydrogen</c:v>
                  </c:pt>
                  <c:pt idx="46">
                    <c:v>Road - Container - Diesel</c:v>
                  </c:pt>
                  <c:pt idx="47">
                    <c:v>Road - Container - Battery</c:v>
                  </c:pt>
                  <c:pt idx="48">
                    <c:v>Road - Container - Hydrogen</c:v>
                  </c:pt>
                  <c:pt idx="49">
                    <c:v>Road - Break bulk - Diesel</c:v>
                  </c:pt>
                  <c:pt idx="50">
                    <c:v>Road - Break bulk - Battery</c:v>
                  </c:pt>
                  <c:pt idx="51">
                    <c:v>Road - Break bulk - Hydrogen</c:v>
                  </c:pt>
                  <c:pt idx="52">
                    <c:v>Road - Neon bulk - Diesel</c:v>
                  </c:pt>
                  <c:pt idx="53">
                    <c:v>Road - Neon bulk - Battery</c:v>
                  </c:pt>
                  <c:pt idx="54">
                    <c:v>Road - Neon bulk - Hydrogen</c:v>
                  </c:pt>
                  <c:pt idx="55">
                    <c:v>Sea - Dry bulk - Heavy fuel oil</c:v>
                  </c:pt>
                  <c:pt idx="56">
                    <c:v>Sea - Dry bulk - Maritime gas oil</c:v>
                  </c:pt>
                  <c:pt idx="57">
                    <c:v>Sea - Dry bulk - Hydrogen</c:v>
                  </c:pt>
                  <c:pt idx="58">
                    <c:v>Sea - Dry bulk - Ammonia</c:v>
                  </c:pt>
                  <c:pt idx="59">
                    <c:v>Sea - Dry bulk - Methanol</c:v>
                  </c:pt>
                  <c:pt idx="60">
                    <c:v>Sea - Container - Heavy fuel oil</c:v>
                  </c:pt>
                  <c:pt idx="61">
                    <c:v>Sea - Container - Maritime gas oil</c:v>
                  </c:pt>
                  <c:pt idx="62">
                    <c:v>Sea - Container - Hydrogen</c:v>
                  </c:pt>
                  <c:pt idx="63">
                    <c:v>Sea - Container - Ammonia</c:v>
                  </c:pt>
                  <c:pt idx="64">
                    <c:v>Sea - Container - Methanol</c:v>
                  </c:pt>
                  <c:pt idx="65">
                    <c:v>Sea - Break bulk - Heavy fuel oil</c:v>
                  </c:pt>
                  <c:pt idx="66">
                    <c:v>Sea - Break bulk - Maritime gas oil</c:v>
                  </c:pt>
                  <c:pt idx="67">
                    <c:v>Sea - Break bulk - Hydrogen</c:v>
                  </c:pt>
                  <c:pt idx="68">
                    <c:v>Sea - Break bulk - Ammonia</c:v>
                  </c:pt>
                  <c:pt idx="69">
                    <c:v>Sea - Break bulk - Methanol</c:v>
                  </c:pt>
                  <c:pt idx="70">
                    <c:v>Sea - Neon bulk - Heavy fuel oil</c:v>
                  </c:pt>
                  <c:pt idx="71">
                    <c:v>Sea - Neon bulk - Maritime gas oil</c:v>
                  </c:pt>
                  <c:pt idx="72">
                    <c:v>Sea - Neon bulk - Hydrogen</c:v>
                  </c:pt>
                  <c:pt idx="73">
                    <c:v>Sea - Neon bulk - Ammoina</c:v>
                  </c:pt>
                  <c:pt idx="74">
                    <c:v>Sea - Neon bulk - Methanol</c:v>
                  </c:pt>
                  <c:pt idx="75">
                    <c:v>Rail - Dry bulk - Diesel</c:v>
                  </c:pt>
                  <c:pt idx="76">
                    <c:v>Rail - Dry bulk - Catenary</c:v>
                  </c:pt>
                  <c:pt idx="77">
                    <c:v>Rail - Dry bulk - Battery</c:v>
                  </c:pt>
                  <c:pt idx="78">
                    <c:v>Rail - Dry bulk - Hydrogen</c:v>
                  </c:pt>
                  <c:pt idx="79">
                    <c:v>Rail - Liquid bulk - Diesel</c:v>
                  </c:pt>
                  <c:pt idx="80">
                    <c:v>Rail - Liquid bulk - Catenary</c:v>
                  </c:pt>
                  <c:pt idx="81">
                    <c:v>Rail - Liquid bulk - Battery</c:v>
                  </c:pt>
                  <c:pt idx="82">
                    <c:v>Rail - Liquid bulk - Hydrogen</c:v>
                  </c:pt>
                  <c:pt idx="83">
                    <c:v>Rail - Container - Diesel</c:v>
                  </c:pt>
                  <c:pt idx="84">
                    <c:v>Rail - Container - Catenary</c:v>
                  </c:pt>
                  <c:pt idx="85">
                    <c:v>Rail - Container - Battery</c:v>
                  </c:pt>
                  <c:pt idx="86">
                    <c:v>Rail - Container - Hydrogen</c:v>
                  </c:pt>
                  <c:pt idx="87">
                    <c:v>Rail - Break bulk - Diesel</c:v>
                  </c:pt>
                  <c:pt idx="88">
                    <c:v>Rail - Break bulk - Catenary</c:v>
                  </c:pt>
                  <c:pt idx="89">
                    <c:v>Rail - Break bulk - Battery</c:v>
                  </c:pt>
                  <c:pt idx="90">
                    <c:v>Rail - Break bulk - Hydrogen</c:v>
                  </c:pt>
                  <c:pt idx="91">
                    <c:v>Rail - Neon bulk - Diesel</c:v>
                  </c:pt>
                  <c:pt idx="92">
                    <c:v>Rail - Neon bulk - Catenary</c:v>
                  </c:pt>
                  <c:pt idx="93">
                    <c:v>Rail - Neon bulk - Battery</c:v>
                  </c:pt>
                  <c:pt idx="94">
                    <c:v>Rail - Neon bulk - Hydrogen</c:v>
                  </c:pt>
                  <c:pt idx="95">
                    <c:v>Road - Dry bulk - Diesel</c:v>
                  </c:pt>
                  <c:pt idx="96">
                    <c:v>Road - Dry bulk - Battery</c:v>
                  </c:pt>
                  <c:pt idx="97">
                    <c:v>Road - Dry bulk - Hydrogen</c:v>
                  </c:pt>
                  <c:pt idx="98">
                    <c:v>Road - Liquid bulk - Diesel</c:v>
                  </c:pt>
                  <c:pt idx="99">
                    <c:v>Road - Liquid bulk - Battery</c:v>
                  </c:pt>
                  <c:pt idx="100">
                    <c:v>Road - Liquid bulk - Hydrogen</c:v>
                  </c:pt>
                  <c:pt idx="101">
                    <c:v>Road - Container - Diesel</c:v>
                  </c:pt>
                  <c:pt idx="102">
                    <c:v>Road - Container - Battery</c:v>
                  </c:pt>
                  <c:pt idx="103">
                    <c:v>Road - Container - Hydrogen</c:v>
                  </c:pt>
                  <c:pt idx="104">
                    <c:v>Road - Break bulk - Diesel</c:v>
                  </c:pt>
                  <c:pt idx="105">
                    <c:v>Road - Break bulk - Battery</c:v>
                  </c:pt>
                  <c:pt idx="106">
                    <c:v>Road - Break bulk - Hydrogen</c:v>
                  </c:pt>
                  <c:pt idx="107">
                    <c:v>Road - Neon bulk - Diesel</c:v>
                  </c:pt>
                  <c:pt idx="108">
                    <c:v>Road - Neon bulk - Battery</c:v>
                  </c:pt>
                  <c:pt idx="109">
                    <c:v>Road - Neon bulk - Hydrogen</c:v>
                  </c:pt>
                  <c:pt idx="110">
                    <c:v>Sea - Dry bulk - Heavy fuel oil</c:v>
                  </c:pt>
                  <c:pt idx="111">
                    <c:v>Sea - Dry bulk - Maritime gas oil</c:v>
                  </c:pt>
                  <c:pt idx="112">
                    <c:v>Sea - Dry bulk - Hydrogen</c:v>
                  </c:pt>
                  <c:pt idx="113">
                    <c:v>Sea - Dry bulk - Ammonia</c:v>
                  </c:pt>
                  <c:pt idx="114">
                    <c:v>Sea - Dry bulk - Methanol</c:v>
                  </c:pt>
                  <c:pt idx="115">
                    <c:v>Sea - Container - Heavy fuel oil</c:v>
                  </c:pt>
                  <c:pt idx="116">
                    <c:v>Sea - Container - Maritime gas oil</c:v>
                  </c:pt>
                  <c:pt idx="117">
                    <c:v>Sea - Container - Hydrogen</c:v>
                  </c:pt>
                  <c:pt idx="118">
                    <c:v>Sea - Container - Ammonia</c:v>
                  </c:pt>
                  <c:pt idx="119">
                    <c:v>Sea - Container - Methanol</c:v>
                  </c:pt>
                  <c:pt idx="120">
                    <c:v>Sea - Break bulk - Heavy fuel oil</c:v>
                  </c:pt>
                  <c:pt idx="121">
                    <c:v>Sea - Break bulk - Maritime gas oil</c:v>
                  </c:pt>
                  <c:pt idx="122">
                    <c:v>Sea - Break bulk - Hydrogen</c:v>
                  </c:pt>
                  <c:pt idx="123">
                    <c:v>Sea - Break bulk - Ammonia</c:v>
                  </c:pt>
                  <c:pt idx="124">
                    <c:v>Sea - Break bulk - Methanol</c:v>
                  </c:pt>
                  <c:pt idx="125">
                    <c:v>Sea - Neon bulk - Heavy fuel oil</c:v>
                  </c:pt>
                  <c:pt idx="126">
                    <c:v>Sea - Neon bulk - Maritime gas oil</c:v>
                  </c:pt>
                  <c:pt idx="127">
                    <c:v>Sea - Neon bulk - Hydrogen</c:v>
                  </c:pt>
                  <c:pt idx="128">
                    <c:v>Sea - Neon bulk - Ammoina</c:v>
                  </c:pt>
                  <c:pt idx="129">
                    <c:v>Sea - Neon bulk - Methanol</c:v>
                  </c:pt>
                  <c:pt idx="130">
                    <c:v>Rail - Dry bulk - Diesel</c:v>
                  </c:pt>
                  <c:pt idx="131">
                    <c:v>Rail - Dry bulk - Catenary</c:v>
                  </c:pt>
                  <c:pt idx="132">
                    <c:v>Rail - Dry bulk - Battery</c:v>
                  </c:pt>
                  <c:pt idx="133">
                    <c:v>Rail - Dry bulk - Hydrogen</c:v>
                  </c:pt>
                  <c:pt idx="134">
                    <c:v>Rail - Liquid bulk - Diesel</c:v>
                  </c:pt>
                  <c:pt idx="135">
                    <c:v>Rail - Liquid bulk - Catenary</c:v>
                  </c:pt>
                  <c:pt idx="136">
                    <c:v>Rail - Liquid bulk - Battery</c:v>
                  </c:pt>
                  <c:pt idx="137">
                    <c:v>Rail - Liquid bulk - Hydrogen</c:v>
                  </c:pt>
                  <c:pt idx="138">
                    <c:v>Rail - Container - Diesel</c:v>
                  </c:pt>
                  <c:pt idx="139">
                    <c:v>Rail - Container - Catenary</c:v>
                  </c:pt>
                  <c:pt idx="140">
                    <c:v>Rail - Container - Battery</c:v>
                  </c:pt>
                  <c:pt idx="141">
                    <c:v>Rail - Container - Hydrogen</c:v>
                  </c:pt>
                  <c:pt idx="142">
                    <c:v>Rail - Break bulk - Diesel</c:v>
                  </c:pt>
                  <c:pt idx="143">
                    <c:v>Rail - Break bulk - Catenary</c:v>
                  </c:pt>
                  <c:pt idx="144">
                    <c:v>Rail - Break bulk - Battery</c:v>
                  </c:pt>
                  <c:pt idx="145">
                    <c:v>Rail - Break bulk - Hydrogen</c:v>
                  </c:pt>
                  <c:pt idx="146">
                    <c:v>Rail - Neon bulk - Diesel</c:v>
                  </c:pt>
                  <c:pt idx="147">
                    <c:v>Rail - Neon bulk - Catenary</c:v>
                  </c:pt>
                  <c:pt idx="148">
                    <c:v>Rail - Neon bulk - Battery</c:v>
                  </c:pt>
                  <c:pt idx="149">
                    <c:v>Rail - Neon bulk - Hydrogen</c:v>
                  </c:pt>
                  <c:pt idx="150">
                    <c:v>Road - Dry bulk - Diesel</c:v>
                  </c:pt>
                  <c:pt idx="151">
                    <c:v>Road - Dry bulk - Battery</c:v>
                  </c:pt>
                  <c:pt idx="152">
                    <c:v>Road - Dry bulk - Hydrogen</c:v>
                  </c:pt>
                  <c:pt idx="153">
                    <c:v>Road - Liquid bulk - Diesel</c:v>
                  </c:pt>
                  <c:pt idx="154">
                    <c:v>Road - Liquid bulk - Battery</c:v>
                  </c:pt>
                  <c:pt idx="155">
                    <c:v>Road - Liquid bulk - Hydrogen</c:v>
                  </c:pt>
                  <c:pt idx="156">
                    <c:v>Road - Container - Diesel</c:v>
                  </c:pt>
                  <c:pt idx="157">
                    <c:v>Road - Container - Battery</c:v>
                  </c:pt>
                  <c:pt idx="158">
                    <c:v>Road - Container - Hydrogen</c:v>
                  </c:pt>
                  <c:pt idx="159">
                    <c:v>Road - Break bulk - Diesel</c:v>
                  </c:pt>
                  <c:pt idx="160">
                    <c:v>Road - Break bulk - Battery</c:v>
                  </c:pt>
                  <c:pt idx="161">
                    <c:v>Road - Break bulk - Hydrogen</c:v>
                  </c:pt>
                  <c:pt idx="162">
                    <c:v>Road - Neon bulk - Diesel</c:v>
                  </c:pt>
                  <c:pt idx="163">
                    <c:v>Road - Neon bulk - Battery</c:v>
                  </c:pt>
                  <c:pt idx="164">
                    <c:v>Road - Neon bulk - Hydrogen</c:v>
                  </c:pt>
                </c:lvl>
                <c:lvl>
                  <c:pt idx="0">
                    <c:v>2023</c:v>
                  </c:pt>
                  <c:pt idx="55">
                    <c:v>2034</c:v>
                  </c:pt>
                  <c:pt idx="110">
                    <c:v>2050</c:v>
                  </c:pt>
                </c:lvl>
              </c:multiLvlStrCache>
            </c:multiLvlStrRef>
          </c:cat>
          <c:val>
            <c:numRef>
              <c:f>FIGURES!$B$6:$FC$6</c:f>
              <c:numCache>
                <c:formatCode>0.00</c:formatCode>
                <c:ptCount val="158"/>
                <c:pt idx="0" formatCode="0.00000">
                  <c:v>0</c:v>
                </c:pt>
                <c:pt idx="1">
                  <c:v>0</c:v>
                </c:pt>
                <c:pt idx="2">
                  <c:v>0</c:v>
                </c:pt>
                <c:pt idx="3">
                  <c:v>0</c:v>
                </c:pt>
                <c:pt idx="4">
                  <c:v>0</c:v>
                </c:pt>
                <c:pt idx="5" formatCode="General">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0.00000">
                  <c:v>0</c:v>
                </c:pt>
                <c:pt idx="56">
                  <c:v>0</c:v>
                </c:pt>
                <c:pt idx="57">
                  <c:v>0</c:v>
                </c:pt>
                <c:pt idx="58">
                  <c:v>0</c:v>
                </c:pt>
                <c:pt idx="59">
                  <c:v>0</c:v>
                </c:pt>
                <c:pt idx="60" formatCode="General">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formatCode="0.00000">
                  <c:v>0</c:v>
                </c:pt>
                <c:pt idx="111">
                  <c:v>0</c:v>
                </c:pt>
                <c:pt idx="112">
                  <c:v>0</c:v>
                </c:pt>
                <c:pt idx="113">
                  <c:v>0</c:v>
                </c:pt>
                <c:pt idx="114">
                  <c:v>0</c:v>
                </c:pt>
                <c:pt idx="115" formatCode="General">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extLst>
            <c:ext xmlns:c16="http://schemas.microsoft.com/office/drawing/2014/chart" uri="{C3380CC4-5D6E-409C-BE32-E72D297353CC}">
              <c16:uniqueId val="{00000000-F9C0-40FC-B5F5-8B7C4578ACB4}"/>
            </c:ext>
          </c:extLst>
        </c:ser>
        <c:ser>
          <c:idx val="1"/>
          <c:order val="1"/>
          <c:tx>
            <c:strRef>
              <c:f>FIGURES!$A$7</c:f>
              <c:strCache>
                <c:ptCount val="1"/>
                <c:pt idx="0">
                  <c:v>Residual value (vehicle)</c:v>
                </c:pt>
              </c:strCache>
            </c:strRef>
          </c:tx>
          <c:spPr>
            <a:solidFill>
              <a:schemeClr val="accent2"/>
            </a:solidFill>
            <a:ln>
              <a:noFill/>
            </a:ln>
            <a:effectLst/>
          </c:spPr>
          <c:invertIfNegative val="0"/>
          <c:cat>
            <c:multiLvlStrRef>
              <c:f>FIGURES!$B$4:$FJ$5</c:f>
              <c:multiLvlStrCache>
                <c:ptCount val="165"/>
                <c:lvl>
                  <c:pt idx="0">
                    <c:v>Sea - Dry bulk - Heavy fuel oil</c:v>
                  </c:pt>
                  <c:pt idx="1">
                    <c:v>Sea - Dry bulk - Maritime gas oil</c:v>
                  </c:pt>
                  <c:pt idx="2">
                    <c:v>Sea - Dry bulk - Hydrogen</c:v>
                  </c:pt>
                  <c:pt idx="3">
                    <c:v>Sea - Dry bulk - Ammonia</c:v>
                  </c:pt>
                  <c:pt idx="4">
                    <c:v>Sea - Dry bulk - Methanol</c:v>
                  </c:pt>
                  <c:pt idx="5">
                    <c:v>Sea - Container - Heavy fuel oil</c:v>
                  </c:pt>
                  <c:pt idx="6">
                    <c:v>Sea - Container - Maritime gas oil</c:v>
                  </c:pt>
                  <c:pt idx="7">
                    <c:v>Sea - Container - Hydrogen</c:v>
                  </c:pt>
                  <c:pt idx="8">
                    <c:v>Sea - Container - Ammonia</c:v>
                  </c:pt>
                  <c:pt idx="9">
                    <c:v>Sea - Container - Methanol</c:v>
                  </c:pt>
                  <c:pt idx="10">
                    <c:v>Sea - Break bulk - Heavy fuel oil</c:v>
                  </c:pt>
                  <c:pt idx="11">
                    <c:v>Sea - Break bulk - Maritime gas oil</c:v>
                  </c:pt>
                  <c:pt idx="12">
                    <c:v>Sea - Break bulk - Hydrogen</c:v>
                  </c:pt>
                  <c:pt idx="13">
                    <c:v>Sea - Break bulk - Ammonia</c:v>
                  </c:pt>
                  <c:pt idx="14">
                    <c:v>Sea - Break bulk - Methanol</c:v>
                  </c:pt>
                  <c:pt idx="15">
                    <c:v>Sea - Neon bulk - Heavy fuel oil</c:v>
                  </c:pt>
                  <c:pt idx="16">
                    <c:v>Sea - Neon bulk - Maritime gas oil</c:v>
                  </c:pt>
                  <c:pt idx="17">
                    <c:v>Sea - Neon bulk - Hydrogen</c:v>
                  </c:pt>
                  <c:pt idx="18">
                    <c:v>Sea - Neon bulk - Ammoina</c:v>
                  </c:pt>
                  <c:pt idx="19">
                    <c:v>Sea - Neon bulk - Methanol</c:v>
                  </c:pt>
                  <c:pt idx="20">
                    <c:v>Rail - Dry bulk - Diesel</c:v>
                  </c:pt>
                  <c:pt idx="21">
                    <c:v>Rail - Dry bulk - Catenary</c:v>
                  </c:pt>
                  <c:pt idx="22">
                    <c:v>Rail - Dry bulk - Battery</c:v>
                  </c:pt>
                  <c:pt idx="23">
                    <c:v>Rail - Dry bulk - Hydrogen</c:v>
                  </c:pt>
                  <c:pt idx="24">
                    <c:v>Rail - Liquid bulk - Diesel</c:v>
                  </c:pt>
                  <c:pt idx="25">
                    <c:v>Rail - Liquid bulk - Catenary</c:v>
                  </c:pt>
                  <c:pt idx="26">
                    <c:v>Rail - Liquid bulk - Battery</c:v>
                  </c:pt>
                  <c:pt idx="27">
                    <c:v>Rail - Liquid bulk - Hydrogen</c:v>
                  </c:pt>
                  <c:pt idx="28">
                    <c:v>Rail - Container - Diesel</c:v>
                  </c:pt>
                  <c:pt idx="29">
                    <c:v>Rail - Container - Catenary</c:v>
                  </c:pt>
                  <c:pt idx="30">
                    <c:v>Rail - Container - Battery</c:v>
                  </c:pt>
                  <c:pt idx="31">
                    <c:v>Rail - Container - Hydrogen</c:v>
                  </c:pt>
                  <c:pt idx="32">
                    <c:v>Rail - Break bulk - Diesel</c:v>
                  </c:pt>
                  <c:pt idx="33">
                    <c:v>Rail - Break bulk - Catenary</c:v>
                  </c:pt>
                  <c:pt idx="34">
                    <c:v>Rail - Break bulk - Battery</c:v>
                  </c:pt>
                  <c:pt idx="35">
                    <c:v>Rail - Break bulk - Hydrogen</c:v>
                  </c:pt>
                  <c:pt idx="36">
                    <c:v>Rail - Neon bulk - Diesel</c:v>
                  </c:pt>
                  <c:pt idx="37">
                    <c:v>Rail - Neon bulk - Catenary</c:v>
                  </c:pt>
                  <c:pt idx="38">
                    <c:v>Rail - Neon bulk - Battery</c:v>
                  </c:pt>
                  <c:pt idx="39">
                    <c:v>Rail - Neon bulk - Hydrogen</c:v>
                  </c:pt>
                  <c:pt idx="40">
                    <c:v>Road - Dry bulk - Diesel</c:v>
                  </c:pt>
                  <c:pt idx="41">
                    <c:v>Road - Dry bulk - Battery</c:v>
                  </c:pt>
                  <c:pt idx="42">
                    <c:v>Road - Dry bulk - Hydrogen</c:v>
                  </c:pt>
                  <c:pt idx="43">
                    <c:v>Road - Liquid bulk - Diesel</c:v>
                  </c:pt>
                  <c:pt idx="44">
                    <c:v>Road - Liquid bulk - Battery</c:v>
                  </c:pt>
                  <c:pt idx="45">
                    <c:v>Road - Liquid bulk - Hydrogen</c:v>
                  </c:pt>
                  <c:pt idx="46">
                    <c:v>Road - Container - Diesel</c:v>
                  </c:pt>
                  <c:pt idx="47">
                    <c:v>Road - Container - Battery</c:v>
                  </c:pt>
                  <c:pt idx="48">
                    <c:v>Road - Container - Hydrogen</c:v>
                  </c:pt>
                  <c:pt idx="49">
                    <c:v>Road - Break bulk - Diesel</c:v>
                  </c:pt>
                  <c:pt idx="50">
                    <c:v>Road - Break bulk - Battery</c:v>
                  </c:pt>
                  <c:pt idx="51">
                    <c:v>Road - Break bulk - Hydrogen</c:v>
                  </c:pt>
                  <c:pt idx="52">
                    <c:v>Road - Neon bulk - Diesel</c:v>
                  </c:pt>
                  <c:pt idx="53">
                    <c:v>Road - Neon bulk - Battery</c:v>
                  </c:pt>
                  <c:pt idx="54">
                    <c:v>Road - Neon bulk - Hydrogen</c:v>
                  </c:pt>
                  <c:pt idx="55">
                    <c:v>Sea - Dry bulk - Heavy fuel oil</c:v>
                  </c:pt>
                  <c:pt idx="56">
                    <c:v>Sea - Dry bulk - Maritime gas oil</c:v>
                  </c:pt>
                  <c:pt idx="57">
                    <c:v>Sea - Dry bulk - Hydrogen</c:v>
                  </c:pt>
                  <c:pt idx="58">
                    <c:v>Sea - Dry bulk - Ammonia</c:v>
                  </c:pt>
                  <c:pt idx="59">
                    <c:v>Sea - Dry bulk - Methanol</c:v>
                  </c:pt>
                  <c:pt idx="60">
                    <c:v>Sea - Container - Heavy fuel oil</c:v>
                  </c:pt>
                  <c:pt idx="61">
                    <c:v>Sea - Container - Maritime gas oil</c:v>
                  </c:pt>
                  <c:pt idx="62">
                    <c:v>Sea - Container - Hydrogen</c:v>
                  </c:pt>
                  <c:pt idx="63">
                    <c:v>Sea - Container - Ammonia</c:v>
                  </c:pt>
                  <c:pt idx="64">
                    <c:v>Sea - Container - Methanol</c:v>
                  </c:pt>
                  <c:pt idx="65">
                    <c:v>Sea - Break bulk - Heavy fuel oil</c:v>
                  </c:pt>
                  <c:pt idx="66">
                    <c:v>Sea - Break bulk - Maritime gas oil</c:v>
                  </c:pt>
                  <c:pt idx="67">
                    <c:v>Sea - Break bulk - Hydrogen</c:v>
                  </c:pt>
                  <c:pt idx="68">
                    <c:v>Sea - Break bulk - Ammonia</c:v>
                  </c:pt>
                  <c:pt idx="69">
                    <c:v>Sea - Break bulk - Methanol</c:v>
                  </c:pt>
                  <c:pt idx="70">
                    <c:v>Sea - Neon bulk - Heavy fuel oil</c:v>
                  </c:pt>
                  <c:pt idx="71">
                    <c:v>Sea - Neon bulk - Maritime gas oil</c:v>
                  </c:pt>
                  <c:pt idx="72">
                    <c:v>Sea - Neon bulk - Hydrogen</c:v>
                  </c:pt>
                  <c:pt idx="73">
                    <c:v>Sea - Neon bulk - Ammoina</c:v>
                  </c:pt>
                  <c:pt idx="74">
                    <c:v>Sea - Neon bulk - Methanol</c:v>
                  </c:pt>
                  <c:pt idx="75">
                    <c:v>Rail - Dry bulk - Diesel</c:v>
                  </c:pt>
                  <c:pt idx="76">
                    <c:v>Rail - Dry bulk - Catenary</c:v>
                  </c:pt>
                  <c:pt idx="77">
                    <c:v>Rail - Dry bulk - Battery</c:v>
                  </c:pt>
                  <c:pt idx="78">
                    <c:v>Rail - Dry bulk - Hydrogen</c:v>
                  </c:pt>
                  <c:pt idx="79">
                    <c:v>Rail - Liquid bulk - Diesel</c:v>
                  </c:pt>
                  <c:pt idx="80">
                    <c:v>Rail - Liquid bulk - Catenary</c:v>
                  </c:pt>
                  <c:pt idx="81">
                    <c:v>Rail - Liquid bulk - Battery</c:v>
                  </c:pt>
                  <c:pt idx="82">
                    <c:v>Rail - Liquid bulk - Hydrogen</c:v>
                  </c:pt>
                  <c:pt idx="83">
                    <c:v>Rail - Container - Diesel</c:v>
                  </c:pt>
                  <c:pt idx="84">
                    <c:v>Rail - Container - Catenary</c:v>
                  </c:pt>
                  <c:pt idx="85">
                    <c:v>Rail - Container - Battery</c:v>
                  </c:pt>
                  <c:pt idx="86">
                    <c:v>Rail - Container - Hydrogen</c:v>
                  </c:pt>
                  <c:pt idx="87">
                    <c:v>Rail - Break bulk - Diesel</c:v>
                  </c:pt>
                  <c:pt idx="88">
                    <c:v>Rail - Break bulk - Catenary</c:v>
                  </c:pt>
                  <c:pt idx="89">
                    <c:v>Rail - Break bulk - Battery</c:v>
                  </c:pt>
                  <c:pt idx="90">
                    <c:v>Rail - Break bulk - Hydrogen</c:v>
                  </c:pt>
                  <c:pt idx="91">
                    <c:v>Rail - Neon bulk - Diesel</c:v>
                  </c:pt>
                  <c:pt idx="92">
                    <c:v>Rail - Neon bulk - Catenary</c:v>
                  </c:pt>
                  <c:pt idx="93">
                    <c:v>Rail - Neon bulk - Battery</c:v>
                  </c:pt>
                  <c:pt idx="94">
                    <c:v>Rail - Neon bulk - Hydrogen</c:v>
                  </c:pt>
                  <c:pt idx="95">
                    <c:v>Road - Dry bulk - Diesel</c:v>
                  </c:pt>
                  <c:pt idx="96">
                    <c:v>Road - Dry bulk - Battery</c:v>
                  </c:pt>
                  <c:pt idx="97">
                    <c:v>Road - Dry bulk - Hydrogen</c:v>
                  </c:pt>
                  <c:pt idx="98">
                    <c:v>Road - Liquid bulk - Diesel</c:v>
                  </c:pt>
                  <c:pt idx="99">
                    <c:v>Road - Liquid bulk - Battery</c:v>
                  </c:pt>
                  <c:pt idx="100">
                    <c:v>Road - Liquid bulk - Hydrogen</c:v>
                  </c:pt>
                  <c:pt idx="101">
                    <c:v>Road - Container - Diesel</c:v>
                  </c:pt>
                  <c:pt idx="102">
                    <c:v>Road - Container - Battery</c:v>
                  </c:pt>
                  <c:pt idx="103">
                    <c:v>Road - Container - Hydrogen</c:v>
                  </c:pt>
                  <c:pt idx="104">
                    <c:v>Road - Break bulk - Diesel</c:v>
                  </c:pt>
                  <c:pt idx="105">
                    <c:v>Road - Break bulk - Battery</c:v>
                  </c:pt>
                  <c:pt idx="106">
                    <c:v>Road - Break bulk - Hydrogen</c:v>
                  </c:pt>
                  <c:pt idx="107">
                    <c:v>Road - Neon bulk - Diesel</c:v>
                  </c:pt>
                  <c:pt idx="108">
                    <c:v>Road - Neon bulk - Battery</c:v>
                  </c:pt>
                  <c:pt idx="109">
                    <c:v>Road - Neon bulk - Hydrogen</c:v>
                  </c:pt>
                  <c:pt idx="110">
                    <c:v>Sea - Dry bulk - Heavy fuel oil</c:v>
                  </c:pt>
                  <c:pt idx="111">
                    <c:v>Sea - Dry bulk - Maritime gas oil</c:v>
                  </c:pt>
                  <c:pt idx="112">
                    <c:v>Sea - Dry bulk - Hydrogen</c:v>
                  </c:pt>
                  <c:pt idx="113">
                    <c:v>Sea - Dry bulk - Ammonia</c:v>
                  </c:pt>
                  <c:pt idx="114">
                    <c:v>Sea - Dry bulk - Methanol</c:v>
                  </c:pt>
                  <c:pt idx="115">
                    <c:v>Sea - Container - Heavy fuel oil</c:v>
                  </c:pt>
                  <c:pt idx="116">
                    <c:v>Sea - Container - Maritime gas oil</c:v>
                  </c:pt>
                  <c:pt idx="117">
                    <c:v>Sea - Container - Hydrogen</c:v>
                  </c:pt>
                  <c:pt idx="118">
                    <c:v>Sea - Container - Ammonia</c:v>
                  </c:pt>
                  <c:pt idx="119">
                    <c:v>Sea - Container - Methanol</c:v>
                  </c:pt>
                  <c:pt idx="120">
                    <c:v>Sea - Break bulk - Heavy fuel oil</c:v>
                  </c:pt>
                  <c:pt idx="121">
                    <c:v>Sea - Break bulk - Maritime gas oil</c:v>
                  </c:pt>
                  <c:pt idx="122">
                    <c:v>Sea - Break bulk - Hydrogen</c:v>
                  </c:pt>
                  <c:pt idx="123">
                    <c:v>Sea - Break bulk - Ammonia</c:v>
                  </c:pt>
                  <c:pt idx="124">
                    <c:v>Sea - Break bulk - Methanol</c:v>
                  </c:pt>
                  <c:pt idx="125">
                    <c:v>Sea - Neon bulk - Heavy fuel oil</c:v>
                  </c:pt>
                  <c:pt idx="126">
                    <c:v>Sea - Neon bulk - Maritime gas oil</c:v>
                  </c:pt>
                  <c:pt idx="127">
                    <c:v>Sea - Neon bulk - Hydrogen</c:v>
                  </c:pt>
                  <c:pt idx="128">
                    <c:v>Sea - Neon bulk - Ammoina</c:v>
                  </c:pt>
                  <c:pt idx="129">
                    <c:v>Sea - Neon bulk - Methanol</c:v>
                  </c:pt>
                  <c:pt idx="130">
                    <c:v>Rail - Dry bulk - Diesel</c:v>
                  </c:pt>
                  <c:pt idx="131">
                    <c:v>Rail - Dry bulk - Catenary</c:v>
                  </c:pt>
                  <c:pt idx="132">
                    <c:v>Rail - Dry bulk - Battery</c:v>
                  </c:pt>
                  <c:pt idx="133">
                    <c:v>Rail - Dry bulk - Hydrogen</c:v>
                  </c:pt>
                  <c:pt idx="134">
                    <c:v>Rail - Liquid bulk - Diesel</c:v>
                  </c:pt>
                  <c:pt idx="135">
                    <c:v>Rail - Liquid bulk - Catenary</c:v>
                  </c:pt>
                  <c:pt idx="136">
                    <c:v>Rail - Liquid bulk - Battery</c:v>
                  </c:pt>
                  <c:pt idx="137">
                    <c:v>Rail - Liquid bulk - Hydrogen</c:v>
                  </c:pt>
                  <c:pt idx="138">
                    <c:v>Rail - Container - Diesel</c:v>
                  </c:pt>
                  <c:pt idx="139">
                    <c:v>Rail - Container - Catenary</c:v>
                  </c:pt>
                  <c:pt idx="140">
                    <c:v>Rail - Container - Battery</c:v>
                  </c:pt>
                  <c:pt idx="141">
                    <c:v>Rail - Container - Hydrogen</c:v>
                  </c:pt>
                  <c:pt idx="142">
                    <c:v>Rail - Break bulk - Diesel</c:v>
                  </c:pt>
                  <c:pt idx="143">
                    <c:v>Rail - Break bulk - Catenary</c:v>
                  </c:pt>
                  <c:pt idx="144">
                    <c:v>Rail - Break bulk - Battery</c:v>
                  </c:pt>
                  <c:pt idx="145">
                    <c:v>Rail - Break bulk - Hydrogen</c:v>
                  </c:pt>
                  <c:pt idx="146">
                    <c:v>Rail - Neon bulk - Diesel</c:v>
                  </c:pt>
                  <c:pt idx="147">
                    <c:v>Rail - Neon bulk - Catenary</c:v>
                  </c:pt>
                  <c:pt idx="148">
                    <c:v>Rail - Neon bulk - Battery</c:v>
                  </c:pt>
                  <c:pt idx="149">
                    <c:v>Rail - Neon bulk - Hydrogen</c:v>
                  </c:pt>
                  <c:pt idx="150">
                    <c:v>Road - Dry bulk - Diesel</c:v>
                  </c:pt>
                  <c:pt idx="151">
                    <c:v>Road - Dry bulk - Battery</c:v>
                  </c:pt>
                  <c:pt idx="152">
                    <c:v>Road - Dry bulk - Hydrogen</c:v>
                  </c:pt>
                  <c:pt idx="153">
                    <c:v>Road - Liquid bulk - Diesel</c:v>
                  </c:pt>
                  <c:pt idx="154">
                    <c:v>Road - Liquid bulk - Battery</c:v>
                  </c:pt>
                  <c:pt idx="155">
                    <c:v>Road - Liquid bulk - Hydrogen</c:v>
                  </c:pt>
                  <c:pt idx="156">
                    <c:v>Road - Container - Diesel</c:v>
                  </c:pt>
                  <c:pt idx="157">
                    <c:v>Road - Container - Battery</c:v>
                  </c:pt>
                  <c:pt idx="158">
                    <c:v>Road - Container - Hydrogen</c:v>
                  </c:pt>
                  <c:pt idx="159">
                    <c:v>Road - Break bulk - Diesel</c:v>
                  </c:pt>
                  <c:pt idx="160">
                    <c:v>Road - Break bulk - Battery</c:v>
                  </c:pt>
                  <c:pt idx="161">
                    <c:v>Road - Break bulk - Hydrogen</c:v>
                  </c:pt>
                  <c:pt idx="162">
                    <c:v>Road - Neon bulk - Diesel</c:v>
                  </c:pt>
                  <c:pt idx="163">
                    <c:v>Road - Neon bulk - Battery</c:v>
                  </c:pt>
                  <c:pt idx="164">
                    <c:v>Road - Neon bulk - Hydrogen</c:v>
                  </c:pt>
                </c:lvl>
                <c:lvl>
                  <c:pt idx="0">
                    <c:v>2023</c:v>
                  </c:pt>
                  <c:pt idx="55">
                    <c:v>2034</c:v>
                  </c:pt>
                  <c:pt idx="110">
                    <c:v>2050</c:v>
                  </c:pt>
                </c:lvl>
              </c:multiLvlStrCache>
            </c:multiLvlStrRef>
          </c:cat>
          <c:val>
            <c:numRef>
              <c:f>FIGURES!$B$7:$FC$7</c:f>
              <c:numCache>
                <c:formatCode>0.00</c:formatCode>
                <c:ptCount val="158"/>
                <c:pt idx="0" formatCode="0.00000">
                  <c:v>0</c:v>
                </c:pt>
                <c:pt idx="1">
                  <c:v>0</c:v>
                </c:pt>
                <c:pt idx="2">
                  <c:v>0</c:v>
                </c:pt>
                <c:pt idx="3">
                  <c:v>0</c:v>
                </c:pt>
                <c:pt idx="4">
                  <c:v>0</c:v>
                </c:pt>
                <c:pt idx="5" formatCode="General">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0.00000">
                  <c:v>0</c:v>
                </c:pt>
                <c:pt idx="56">
                  <c:v>0</c:v>
                </c:pt>
                <c:pt idx="57">
                  <c:v>0</c:v>
                </c:pt>
                <c:pt idx="58">
                  <c:v>0</c:v>
                </c:pt>
                <c:pt idx="59">
                  <c:v>0</c:v>
                </c:pt>
                <c:pt idx="60" formatCode="General">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formatCode="0.00000">
                  <c:v>0</c:v>
                </c:pt>
                <c:pt idx="111">
                  <c:v>0</c:v>
                </c:pt>
                <c:pt idx="112">
                  <c:v>0</c:v>
                </c:pt>
                <c:pt idx="113">
                  <c:v>0</c:v>
                </c:pt>
                <c:pt idx="114">
                  <c:v>0</c:v>
                </c:pt>
                <c:pt idx="115" formatCode="General">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extLst>
            <c:ext xmlns:c16="http://schemas.microsoft.com/office/drawing/2014/chart" uri="{C3380CC4-5D6E-409C-BE32-E72D297353CC}">
              <c16:uniqueId val="{00000001-F9C0-40FC-B5F5-8B7C4578ACB4}"/>
            </c:ext>
          </c:extLst>
        </c:ser>
        <c:ser>
          <c:idx val="2"/>
          <c:order val="2"/>
          <c:tx>
            <c:strRef>
              <c:f>FIGURES!$A$8</c:f>
              <c:strCache>
                <c:ptCount val="1"/>
                <c:pt idx="0">
                  <c:v>Capex costumization</c:v>
                </c:pt>
              </c:strCache>
            </c:strRef>
          </c:tx>
          <c:spPr>
            <a:solidFill>
              <a:schemeClr val="accent3"/>
            </a:solidFill>
            <a:ln>
              <a:noFill/>
            </a:ln>
            <a:effectLst/>
          </c:spPr>
          <c:invertIfNegative val="0"/>
          <c:cat>
            <c:multiLvlStrRef>
              <c:f>FIGURES!$B$4:$FJ$5</c:f>
              <c:multiLvlStrCache>
                <c:ptCount val="165"/>
                <c:lvl>
                  <c:pt idx="0">
                    <c:v>Sea - Dry bulk - Heavy fuel oil</c:v>
                  </c:pt>
                  <c:pt idx="1">
                    <c:v>Sea - Dry bulk - Maritime gas oil</c:v>
                  </c:pt>
                  <c:pt idx="2">
                    <c:v>Sea - Dry bulk - Hydrogen</c:v>
                  </c:pt>
                  <c:pt idx="3">
                    <c:v>Sea - Dry bulk - Ammonia</c:v>
                  </c:pt>
                  <c:pt idx="4">
                    <c:v>Sea - Dry bulk - Methanol</c:v>
                  </c:pt>
                  <c:pt idx="5">
                    <c:v>Sea - Container - Heavy fuel oil</c:v>
                  </c:pt>
                  <c:pt idx="6">
                    <c:v>Sea - Container - Maritime gas oil</c:v>
                  </c:pt>
                  <c:pt idx="7">
                    <c:v>Sea - Container - Hydrogen</c:v>
                  </c:pt>
                  <c:pt idx="8">
                    <c:v>Sea - Container - Ammonia</c:v>
                  </c:pt>
                  <c:pt idx="9">
                    <c:v>Sea - Container - Methanol</c:v>
                  </c:pt>
                  <c:pt idx="10">
                    <c:v>Sea - Break bulk - Heavy fuel oil</c:v>
                  </c:pt>
                  <c:pt idx="11">
                    <c:v>Sea - Break bulk - Maritime gas oil</c:v>
                  </c:pt>
                  <c:pt idx="12">
                    <c:v>Sea - Break bulk - Hydrogen</c:v>
                  </c:pt>
                  <c:pt idx="13">
                    <c:v>Sea - Break bulk - Ammonia</c:v>
                  </c:pt>
                  <c:pt idx="14">
                    <c:v>Sea - Break bulk - Methanol</c:v>
                  </c:pt>
                  <c:pt idx="15">
                    <c:v>Sea - Neon bulk - Heavy fuel oil</c:v>
                  </c:pt>
                  <c:pt idx="16">
                    <c:v>Sea - Neon bulk - Maritime gas oil</c:v>
                  </c:pt>
                  <c:pt idx="17">
                    <c:v>Sea - Neon bulk - Hydrogen</c:v>
                  </c:pt>
                  <c:pt idx="18">
                    <c:v>Sea - Neon bulk - Ammoina</c:v>
                  </c:pt>
                  <c:pt idx="19">
                    <c:v>Sea - Neon bulk - Methanol</c:v>
                  </c:pt>
                  <c:pt idx="20">
                    <c:v>Rail - Dry bulk - Diesel</c:v>
                  </c:pt>
                  <c:pt idx="21">
                    <c:v>Rail - Dry bulk - Catenary</c:v>
                  </c:pt>
                  <c:pt idx="22">
                    <c:v>Rail - Dry bulk - Battery</c:v>
                  </c:pt>
                  <c:pt idx="23">
                    <c:v>Rail - Dry bulk - Hydrogen</c:v>
                  </c:pt>
                  <c:pt idx="24">
                    <c:v>Rail - Liquid bulk - Diesel</c:v>
                  </c:pt>
                  <c:pt idx="25">
                    <c:v>Rail - Liquid bulk - Catenary</c:v>
                  </c:pt>
                  <c:pt idx="26">
                    <c:v>Rail - Liquid bulk - Battery</c:v>
                  </c:pt>
                  <c:pt idx="27">
                    <c:v>Rail - Liquid bulk - Hydrogen</c:v>
                  </c:pt>
                  <c:pt idx="28">
                    <c:v>Rail - Container - Diesel</c:v>
                  </c:pt>
                  <c:pt idx="29">
                    <c:v>Rail - Container - Catenary</c:v>
                  </c:pt>
                  <c:pt idx="30">
                    <c:v>Rail - Container - Battery</c:v>
                  </c:pt>
                  <c:pt idx="31">
                    <c:v>Rail - Container - Hydrogen</c:v>
                  </c:pt>
                  <c:pt idx="32">
                    <c:v>Rail - Break bulk - Diesel</c:v>
                  </c:pt>
                  <c:pt idx="33">
                    <c:v>Rail - Break bulk - Catenary</c:v>
                  </c:pt>
                  <c:pt idx="34">
                    <c:v>Rail - Break bulk - Battery</c:v>
                  </c:pt>
                  <c:pt idx="35">
                    <c:v>Rail - Break bulk - Hydrogen</c:v>
                  </c:pt>
                  <c:pt idx="36">
                    <c:v>Rail - Neon bulk - Diesel</c:v>
                  </c:pt>
                  <c:pt idx="37">
                    <c:v>Rail - Neon bulk - Catenary</c:v>
                  </c:pt>
                  <c:pt idx="38">
                    <c:v>Rail - Neon bulk - Battery</c:v>
                  </c:pt>
                  <c:pt idx="39">
                    <c:v>Rail - Neon bulk - Hydrogen</c:v>
                  </c:pt>
                  <c:pt idx="40">
                    <c:v>Road - Dry bulk - Diesel</c:v>
                  </c:pt>
                  <c:pt idx="41">
                    <c:v>Road - Dry bulk - Battery</c:v>
                  </c:pt>
                  <c:pt idx="42">
                    <c:v>Road - Dry bulk - Hydrogen</c:v>
                  </c:pt>
                  <c:pt idx="43">
                    <c:v>Road - Liquid bulk - Diesel</c:v>
                  </c:pt>
                  <c:pt idx="44">
                    <c:v>Road - Liquid bulk - Battery</c:v>
                  </c:pt>
                  <c:pt idx="45">
                    <c:v>Road - Liquid bulk - Hydrogen</c:v>
                  </c:pt>
                  <c:pt idx="46">
                    <c:v>Road - Container - Diesel</c:v>
                  </c:pt>
                  <c:pt idx="47">
                    <c:v>Road - Container - Battery</c:v>
                  </c:pt>
                  <c:pt idx="48">
                    <c:v>Road - Container - Hydrogen</c:v>
                  </c:pt>
                  <c:pt idx="49">
                    <c:v>Road - Break bulk - Diesel</c:v>
                  </c:pt>
                  <c:pt idx="50">
                    <c:v>Road - Break bulk - Battery</c:v>
                  </c:pt>
                  <c:pt idx="51">
                    <c:v>Road - Break bulk - Hydrogen</c:v>
                  </c:pt>
                  <c:pt idx="52">
                    <c:v>Road - Neon bulk - Diesel</c:v>
                  </c:pt>
                  <c:pt idx="53">
                    <c:v>Road - Neon bulk - Battery</c:v>
                  </c:pt>
                  <c:pt idx="54">
                    <c:v>Road - Neon bulk - Hydrogen</c:v>
                  </c:pt>
                  <c:pt idx="55">
                    <c:v>Sea - Dry bulk - Heavy fuel oil</c:v>
                  </c:pt>
                  <c:pt idx="56">
                    <c:v>Sea - Dry bulk - Maritime gas oil</c:v>
                  </c:pt>
                  <c:pt idx="57">
                    <c:v>Sea - Dry bulk - Hydrogen</c:v>
                  </c:pt>
                  <c:pt idx="58">
                    <c:v>Sea - Dry bulk - Ammonia</c:v>
                  </c:pt>
                  <c:pt idx="59">
                    <c:v>Sea - Dry bulk - Methanol</c:v>
                  </c:pt>
                  <c:pt idx="60">
                    <c:v>Sea - Container - Heavy fuel oil</c:v>
                  </c:pt>
                  <c:pt idx="61">
                    <c:v>Sea - Container - Maritime gas oil</c:v>
                  </c:pt>
                  <c:pt idx="62">
                    <c:v>Sea - Container - Hydrogen</c:v>
                  </c:pt>
                  <c:pt idx="63">
                    <c:v>Sea - Container - Ammonia</c:v>
                  </c:pt>
                  <c:pt idx="64">
                    <c:v>Sea - Container - Methanol</c:v>
                  </c:pt>
                  <c:pt idx="65">
                    <c:v>Sea - Break bulk - Heavy fuel oil</c:v>
                  </c:pt>
                  <c:pt idx="66">
                    <c:v>Sea - Break bulk - Maritime gas oil</c:v>
                  </c:pt>
                  <c:pt idx="67">
                    <c:v>Sea - Break bulk - Hydrogen</c:v>
                  </c:pt>
                  <c:pt idx="68">
                    <c:v>Sea - Break bulk - Ammonia</c:v>
                  </c:pt>
                  <c:pt idx="69">
                    <c:v>Sea - Break bulk - Methanol</c:v>
                  </c:pt>
                  <c:pt idx="70">
                    <c:v>Sea - Neon bulk - Heavy fuel oil</c:v>
                  </c:pt>
                  <c:pt idx="71">
                    <c:v>Sea - Neon bulk - Maritime gas oil</c:v>
                  </c:pt>
                  <c:pt idx="72">
                    <c:v>Sea - Neon bulk - Hydrogen</c:v>
                  </c:pt>
                  <c:pt idx="73">
                    <c:v>Sea - Neon bulk - Ammoina</c:v>
                  </c:pt>
                  <c:pt idx="74">
                    <c:v>Sea - Neon bulk - Methanol</c:v>
                  </c:pt>
                  <c:pt idx="75">
                    <c:v>Rail - Dry bulk - Diesel</c:v>
                  </c:pt>
                  <c:pt idx="76">
                    <c:v>Rail - Dry bulk - Catenary</c:v>
                  </c:pt>
                  <c:pt idx="77">
                    <c:v>Rail - Dry bulk - Battery</c:v>
                  </c:pt>
                  <c:pt idx="78">
                    <c:v>Rail - Dry bulk - Hydrogen</c:v>
                  </c:pt>
                  <c:pt idx="79">
                    <c:v>Rail - Liquid bulk - Diesel</c:v>
                  </c:pt>
                  <c:pt idx="80">
                    <c:v>Rail - Liquid bulk - Catenary</c:v>
                  </c:pt>
                  <c:pt idx="81">
                    <c:v>Rail - Liquid bulk - Battery</c:v>
                  </c:pt>
                  <c:pt idx="82">
                    <c:v>Rail - Liquid bulk - Hydrogen</c:v>
                  </c:pt>
                  <c:pt idx="83">
                    <c:v>Rail - Container - Diesel</c:v>
                  </c:pt>
                  <c:pt idx="84">
                    <c:v>Rail - Container - Catenary</c:v>
                  </c:pt>
                  <c:pt idx="85">
                    <c:v>Rail - Container - Battery</c:v>
                  </c:pt>
                  <c:pt idx="86">
                    <c:v>Rail - Container - Hydrogen</c:v>
                  </c:pt>
                  <c:pt idx="87">
                    <c:v>Rail - Break bulk - Diesel</c:v>
                  </c:pt>
                  <c:pt idx="88">
                    <c:v>Rail - Break bulk - Catenary</c:v>
                  </c:pt>
                  <c:pt idx="89">
                    <c:v>Rail - Break bulk - Battery</c:v>
                  </c:pt>
                  <c:pt idx="90">
                    <c:v>Rail - Break bulk - Hydrogen</c:v>
                  </c:pt>
                  <c:pt idx="91">
                    <c:v>Rail - Neon bulk - Diesel</c:v>
                  </c:pt>
                  <c:pt idx="92">
                    <c:v>Rail - Neon bulk - Catenary</c:v>
                  </c:pt>
                  <c:pt idx="93">
                    <c:v>Rail - Neon bulk - Battery</c:v>
                  </c:pt>
                  <c:pt idx="94">
                    <c:v>Rail - Neon bulk - Hydrogen</c:v>
                  </c:pt>
                  <c:pt idx="95">
                    <c:v>Road - Dry bulk - Diesel</c:v>
                  </c:pt>
                  <c:pt idx="96">
                    <c:v>Road - Dry bulk - Battery</c:v>
                  </c:pt>
                  <c:pt idx="97">
                    <c:v>Road - Dry bulk - Hydrogen</c:v>
                  </c:pt>
                  <c:pt idx="98">
                    <c:v>Road - Liquid bulk - Diesel</c:v>
                  </c:pt>
                  <c:pt idx="99">
                    <c:v>Road - Liquid bulk - Battery</c:v>
                  </c:pt>
                  <c:pt idx="100">
                    <c:v>Road - Liquid bulk - Hydrogen</c:v>
                  </c:pt>
                  <c:pt idx="101">
                    <c:v>Road - Container - Diesel</c:v>
                  </c:pt>
                  <c:pt idx="102">
                    <c:v>Road - Container - Battery</c:v>
                  </c:pt>
                  <c:pt idx="103">
                    <c:v>Road - Container - Hydrogen</c:v>
                  </c:pt>
                  <c:pt idx="104">
                    <c:v>Road - Break bulk - Diesel</c:v>
                  </c:pt>
                  <c:pt idx="105">
                    <c:v>Road - Break bulk - Battery</c:v>
                  </c:pt>
                  <c:pt idx="106">
                    <c:v>Road - Break bulk - Hydrogen</c:v>
                  </c:pt>
                  <c:pt idx="107">
                    <c:v>Road - Neon bulk - Diesel</c:v>
                  </c:pt>
                  <c:pt idx="108">
                    <c:v>Road - Neon bulk - Battery</c:v>
                  </c:pt>
                  <c:pt idx="109">
                    <c:v>Road - Neon bulk - Hydrogen</c:v>
                  </c:pt>
                  <c:pt idx="110">
                    <c:v>Sea - Dry bulk - Heavy fuel oil</c:v>
                  </c:pt>
                  <c:pt idx="111">
                    <c:v>Sea - Dry bulk - Maritime gas oil</c:v>
                  </c:pt>
                  <c:pt idx="112">
                    <c:v>Sea - Dry bulk - Hydrogen</c:v>
                  </c:pt>
                  <c:pt idx="113">
                    <c:v>Sea - Dry bulk - Ammonia</c:v>
                  </c:pt>
                  <c:pt idx="114">
                    <c:v>Sea - Dry bulk - Methanol</c:v>
                  </c:pt>
                  <c:pt idx="115">
                    <c:v>Sea - Container - Heavy fuel oil</c:v>
                  </c:pt>
                  <c:pt idx="116">
                    <c:v>Sea - Container - Maritime gas oil</c:v>
                  </c:pt>
                  <c:pt idx="117">
                    <c:v>Sea - Container - Hydrogen</c:v>
                  </c:pt>
                  <c:pt idx="118">
                    <c:v>Sea - Container - Ammonia</c:v>
                  </c:pt>
                  <c:pt idx="119">
                    <c:v>Sea - Container - Methanol</c:v>
                  </c:pt>
                  <c:pt idx="120">
                    <c:v>Sea - Break bulk - Heavy fuel oil</c:v>
                  </c:pt>
                  <c:pt idx="121">
                    <c:v>Sea - Break bulk - Maritime gas oil</c:v>
                  </c:pt>
                  <c:pt idx="122">
                    <c:v>Sea - Break bulk - Hydrogen</c:v>
                  </c:pt>
                  <c:pt idx="123">
                    <c:v>Sea - Break bulk - Ammonia</c:v>
                  </c:pt>
                  <c:pt idx="124">
                    <c:v>Sea - Break bulk - Methanol</c:v>
                  </c:pt>
                  <c:pt idx="125">
                    <c:v>Sea - Neon bulk - Heavy fuel oil</c:v>
                  </c:pt>
                  <c:pt idx="126">
                    <c:v>Sea - Neon bulk - Maritime gas oil</c:v>
                  </c:pt>
                  <c:pt idx="127">
                    <c:v>Sea - Neon bulk - Hydrogen</c:v>
                  </c:pt>
                  <c:pt idx="128">
                    <c:v>Sea - Neon bulk - Ammoina</c:v>
                  </c:pt>
                  <c:pt idx="129">
                    <c:v>Sea - Neon bulk - Methanol</c:v>
                  </c:pt>
                  <c:pt idx="130">
                    <c:v>Rail - Dry bulk - Diesel</c:v>
                  </c:pt>
                  <c:pt idx="131">
                    <c:v>Rail - Dry bulk - Catenary</c:v>
                  </c:pt>
                  <c:pt idx="132">
                    <c:v>Rail - Dry bulk - Battery</c:v>
                  </c:pt>
                  <c:pt idx="133">
                    <c:v>Rail - Dry bulk - Hydrogen</c:v>
                  </c:pt>
                  <c:pt idx="134">
                    <c:v>Rail - Liquid bulk - Diesel</c:v>
                  </c:pt>
                  <c:pt idx="135">
                    <c:v>Rail - Liquid bulk - Catenary</c:v>
                  </c:pt>
                  <c:pt idx="136">
                    <c:v>Rail - Liquid bulk - Battery</c:v>
                  </c:pt>
                  <c:pt idx="137">
                    <c:v>Rail - Liquid bulk - Hydrogen</c:v>
                  </c:pt>
                  <c:pt idx="138">
                    <c:v>Rail - Container - Diesel</c:v>
                  </c:pt>
                  <c:pt idx="139">
                    <c:v>Rail - Container - Catenary</c:v>
                  </c:pt>
                  <c:pt idx="140">
                    <c:v>Rail - Container - Battery</c:v>
                  </c:pt>
                  <c:pt idx="141">
                    <c:v>Rail - Container - Hydrogen</c:v>
                  </c:pt>
                  <c:pt idx="142">
                    <c:v>Rail - Break bulk - Diesel</c:v>
                  </c:pt>
                  <c:pt idx="143">
                    <c:v>Rail - Break bulk - Catenary</c:v>
                  </c:pt>
                  <c:pt idx="144">
                    <c:v>Rail - Break bulk - Battery</c:v>
                  </c:pt>
                  <c:pt idx="145">
                    <c:v>Rail - Break bulk - Hydrogen</c:v>
                  </c:pt>
                  <c:pt idx="146">
                    <c:v>Rail - Neon bulk - Diesel</c:v>
                  </c:pt>
                  <c:pt idx="147">
                    <c:v>Rail - Neon bulk - Catenary</c:v>
                  </c:pt>
                  <c:pt idx="148">
                    <c:v>Rail - Neon bulk - Battery</c:v>
                  </c:pt>
                  <c:pt idx="149">
                    <c:v>Rail - Neon bulk - Hydrogen</c:v>
                  </c:pt>
                  <c:pt idx="150">
                    <c:v>Road - Dry bulk - Diesel</c:v>
                  </c:pt>
                  <c:pt idx="151">
                    <c:v>Road - Dry bulk - Battery</c:v>
                  </c:pt>
                  <c:pt idx="152">
                    <c:v>Road - Dry bulk - Hydrogen</c:v>
                  </c:pt>
                  <c:pt idx="153">
                    <c:v>Road - Liquid bulk - Diesel</c:v>
                  </c:pt>
                  <c:pt idx="154">
                    <c:v>Road - Liquid bulk - Battery</c:v>
                  </c:pt>
                  <c:pt idx="155">
                    <c:v>Road - Liquid bulk - Hydrogen</c:v>
                  </c:pt>
                  <c:pt idx="156">
                    <c:v>Road - Container - Diesel</c:v>
                  </c:pt>
                  <c:pt idx="157">
                    <c:v>Road - Container - Battery</c:v>
                  </c:pt>
                  <c:pt idx="158">
                    <c:v>Road - Container - Hydrogen</c:v>
                  </c:pt>
                  <c:pt idx="159">
                    <c:v>Road - Break bulk - Diesel</c:v>
                  </c:pt>
                  <c:pt idx="160">
                    <c:v>Road - Break bulk - Battery</c:v>
                  </c:pt>
                  <c:pt idx="161">
                    <c:v>Road - Break bulk - Hydrogen</c:v>
                  </c:pt>
                  <c:pt idx="162">
                    <c:v>Road - Neon bulk - Diesel</c:v>
                  </c:pt>
                  <c:pt idx="163">
                    <c:v>Road - Neon bulk - Battery</c:v>
                  </c:pt>
                  <c:pt idx="164">
                    <c:v>Road - Neon bulk - Hydrogen</c:v>
                  </c:pt>
                </c:lvl>
                <c:lvl>
                  <c:pt idx="0">
                    <c:v>2023</c:v>
                  </c:pt>
                  <c:pt idx="55">
                    <c:v>2034</c:v>
                  </c:pt>
                  <c:pt idx="110">
                    <c:v>2050</c:v>
                  </c:pt>
                </c:lvl>
              </c:multiLvlStrCache>
            </c:multiLvlStrRef>
          </c:cat>
          <c:val>
            <c:numRef>
              <c:f>FIGURES!$B$8:$FC$8</c:f>
              <c:numCache>
                <c:formatCode>0.00</c:formatCode>
                <c:ptCount val="158"/>
                <c:pt idx="0" formatCode="0.00000">
                  <c:v>0</c:v>
                </c:pt>
                <c:pt idx="1">
                  <c:v>0</c:v>
                </c:pt>
                <c:pt idx="2">
                  <c:v>0</c:v>
                </c:pt>
                <c:pt idx="3">
                  <c:v>0</c:v>
                </c:pt>
                <c:pt idx="4">
                  <c:v>0</c:v>
                </c:pt>
                <c:pt idx="5" formatCode="General">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0.00000">
                  <c:v>0</c:v>
                </c:pt>
                <c:pt idx="56">
                  <c:v>0</c:v>
                </c:pt>
                <c:pt idx="57">
                  <c:v>0</c:v>
                </c:pt>
                <c:pt idx="58">
                  <c:v>0</c:v>
                </c:pt>
                <c:pt idx="59">
                  <c:v>0</c:v>
                </c:pt>
                <c:pt idx="60" formatCode="General">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formatCode="0.00000">
                  <c:v>0</c:v>
                </c:pt>
                <c:pt idx="111">
                  <c:v>0</c:v>
                </c:pt>
                <c:pt idx="112">
                  <c:v>0</c:v>
                </c:pt>
                <c:pt idx="113">
                  <c:v>0</c:v>
                </c:pt>
                <c:pt idx="114">
                  <c:v>0</c:v>
                </c:pt>
                <c:pt idx="115" formatCode="General">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extLst>
            <c:ext xmlns:c16="http://schemas.microsoft.com/office/drawing/2014/chart" uri="{C3380CC4-5D6E-409C-BE32-E72D297353CC}">
              <c16:uniqueId val="{00000002-F9C0-40FC-B5F5-8B7C4578ACB4}"/>
            </c:ext>
          </c:extLst>
        </c:ser>
        <c:ser>
          <c:idx val="3"/>
          <c:order val="3"/>
          <c:tx>
            <c:strRef>
              <c:f>FIGURES!$A$9</c:f>
              <c:strCache>
                <c:ptCount val="1"/>
                <c:pt idx="0">
                  <c:v>Residual value (costumization)</c:v>
                </c:pt>
              </c:strCache>
            </c:strRef>
          </c:tx>
          <c:spPr>
            <a:solidFill>
              <a:schemeClr val="accent4"/>
            </a:solidFill>
            <a:ln>
              <a:noFill/>
            </a:ln>
            <a:effectLst/>
          </c:spPr>
          <c:invertIfNegative val="0"/>
          <c:cat>
            <c:multiLvlStrRef>
              <c:f>FIGURES!$B$4:$FJ$5</c:f>
              <c:multiLvlStrCache>
                <c:ptCount val="165"/>
                <c:lvl>
                  <c:pt idx="0">
                    <c:v>Sea - Dry bulk - Heavy fuel oil</c:v>
                  </c:pt>
                  <c:pt idx="1">
                    <c:v>Sea - Dry bulk - Maritime gas oil</c:v>
                  </c:pt>
                  <c:pt idx="2">
                    <c:v>Sea - Dry bulk - Hydrogen</c:v>
                  </c:pt>
                  <c:pt idx="3">
                    <c:v>Sea - Dry bulk - Ammonia</c:v>
                  </c:pt>
                  <c:pt idx="4">
                    <c:v>Sea - Dry bulk - Methanol</c:v>
                  </c:pt>
                  <c:pt idx="5">
                    <c:v>Sea - Container - Heavy fuel oil</c:v>
                  </c:pt>
                  <c:pt idx="6">
                    <c:v>Sea - Container - Maritime gas oil</c:v>
                  </c:pt>
                  <c:pt idx="7">
                    <c:v>Sea - Container - Hydrogen</c:v>
                  </c:pt>
                  <c:pt idx="8">
                    <c:v>Sea - Container - Ammonia</c:v>
                  </c:pt>
                  <c:pt idx="9">
                    <c:v>Sea - Container - Methanol</c:v>
                  </c:pt>
                  <c:pt idx="10">
                    <c:v>Sea - Break bulk - Heavy fuel oil</c:v>
                  </c:pt>
                  <c:pt idx="11">
                    <c:v>Sea - Break bulk - Maritime gas oil</c:v>
                  </c:pt>
                  <c:pt idx="12">
                    <c:v>Sea - Break bulk - Hydrogen</c:v>
                  </c:pt>
                  <c:pt idx="13">
                    <c:v>Sea - Break bulk - Ammonia</c:v>
                  </c:pt>
                  <c:pt idx="14">
                    <c:v>Sea - Break bulk - Methanol</c:v>
                  </c:pt>
                  <c:pt idx="15">
                    <c:v>Sea - Neon bulk - Heavy fuel oil</c:v>
                  </c:pt>
                  <c:pt idx="16">
                    <c:v>Sea - Neon bulk - Maritime gas oil</c:v>
                  </c:pt>
                  <c:pt idx="17">
                    <c:v>Sea - Neon bulk - Hydrogen</c:v>
                  </c:pt>
                  <c:pt idx="18">
                    <c:v>Sea - Neon bulk - Ammoina</c:v>
                  </c:pt>
                  <c:pt idx="19">
                    <c:v>Sea - Neon bulk - Methanol</c:v>
                  </c:pt>
                  <c:pt idx="20">
                    <c:v>Rail - Dry bulk - Diesel</c:v>
                  </c:pt>
                  <c:pt idx="21">
                    <c:v>Rail - Dry bulk - Catenary</c:v>
                  </c:pt>
                  <c:pt idx="22">
                    <c:v>Rail - Dry bulk - Battery</c:v>
                  </c:pt>
                  <c:pt idx="23">
                    <c:v>Rail - Dry bulk - Hydrogen</c:v>
                  </c:pt>
                  <c:pt idx="24">
                    <c:v>Rail - Liquid bulk - Diesel</c:v>
                  </c:pt>
                  <c:pt idx="25">
                    <c:v>Rail - Liquid bulk - Catenary</c:v>
                  </c:pt>
                  <c:pt idx="26">
                    <c:v>Rail - Liquid bulk - Battery</c:v>
                  </c:pt>
                  <c:pt idx="27">
                    <c:v>Rail - Liquid bulk - Hydrogen</c:v>
                  </c:pt>
                  <c:pt idx="28">
                    <c:v>Rail - Container - Diesel</c:v>
                  </c:pt>
                  <c:pt idx="29">
                    <c:v>Rail - Container - Catenary</c:v>
                  </c:pt>
                  <c:pt idx="30">
                    <c:v>Rail - Container - Battery</c:v>
                  </c:pt>
                  <c:pt idx="31">
                    <c:v>Rail - Container - Hydrogen</c:v>
                  </c:pt>
                  <c:pt idx="32">
                    <c:v>Rail - Break bulk - Diesel</c:v>
                  </c:pt>
                  <c:pt idx="33">
                    <c:v>Rail - Break bulk - Catenary</c:v>
                  </c:pt>
                  <c:pt idx="34">
                    <c:v>Rail - Break bulk - Battery</c:v>
                  </c:pt>
                  <c:pt idx="35">
                    <c:v>Rail - Break bulk - Hydrogen</c:v>
                  </c:pt>
                  <c:pt idx="36">
                    <c:v>Rail - Neon bulk - Diesel</c:v>
                  </c:pt>
                  <c:pt idx="37">
                    <c:v>Rail - Neon bulk - Catenary</c:v>
                  </c:pt>
                  <c:pt idx="38">
                    <c:v>Rail - Neon bulk - Battery</c:v>
                  </c:pt>
                  <c:pt idx="39">
                    <c:v>Rail - Neon bulk - Hydrogen</c:v>
                  </c:pt>
                  <c:pt idx="40">
                    <c:v>Road - Dry bulk - Diesel</c:v>
                  </c:pt>
                  <c:pt idx="41">
                    <c:v>Road - Dry bulk - Battery</c:v>
                  </c:pt>
                  <c:pt idx="42">
                    <c:v>Road - Dry bulk - Hydrogen</c:v>
                  </c:pt>
                  <c:pt idx="43">
                    <c:v>Road - Liquid bulk - Diesel</c:v>
                  </c:pt>
                  <c:pt idx="44">
                    <c:v>Road - Liquid bulk - Battery</c:v>
                  </c:pt>
                  <c:pt idx="45">
                    <c:v>Road - Liquid bulk - Hydrogen</c:v>
                  </c:pt>
                  <c:pt idx="46">
                    <c:v>Road - Container - Diesel</c:v>
                  </c:pt>
                  <c:pt idx="47">
                    <c:v>Road - Container - Battery</c:v>
                  </c:pt>
                  <c:pt idx="48">
                    <c:v>Road - Container - Hydrogen</c:v>
                  </c:pt>
                  <c:pt idx="49">
                    <c:v>Road - Break bulk - Diesel</c:v>
                  </c:pt>
                  <c:pt idx="50">
                    <c:v>Road - Break bulk - Battery</c:v>
                  </c:pt>
                  <c:pt idx="51">
                    <c:v>Road - Break bulk - Hydrogen</c:v>
                  </c:pt>
                  <c:pt idx="52">
                    <c:v>Road - Neon bulk - Diesel</c:v>
                  </c:pt>
                  <c:pt idx="53">
                    <c:v>Road - Neon bulk - Battery</c:v>
                  </c:pt>
                  <c:pt idx="54">
                    <c:v>Road - Neon bulk - Hydrogen</c:v>
                  </c:pt>
                  <c:pt idx="55">
                    <c:v>Sea - Dry bulk - Heavy fuel oil</c:v>
                  </c:pt>
                  <c:pt idx="56">
                    <c:v>Sea - Dry bulk - Maritime gas oil</c:v>
                  </c:pt>
                  <c:pt idx="57">
                    <c:v>Sea - Dry bulk - Hydrogen</c:v>
                  </c:pt>
                  <c:pt idx="58">
                    <c:v>Sea - Dry bulk - Ammonia</c:v>
                  </c:pt>
                  <c:pt idx="59">
                    <c:v>Sea - Dry bulk - Methanol</c:v>
                  </c:pt>
                  <c:pt idx="60">
                    <c:v>Sea - Container - Heavy fuel oil</c:v>
                  </c:pt>
                  <c:pt idx="61">
                    <c:v>Sea - Container - Maritime gas oil</c:v>
                  </c:pt>
                  <c:pt idx="62">
                    <c:v>Sea - Container - Hydrogen</c:v>
                  </c:pt>
                  <c:pt idx="63">
                    <c:v>Sea - Container - Ammonia</c:v>
                  </c:pt>
                  <c:pt idx="64">
                    <c:v>Sea - Container - Methanol</c:v>
                  </c:pt>
                  <c:pt idx="65">
                    <c:v>Sea - Break bulk - Heavy fuel oil</c:v>
                  </c:pt>
                  <c:pt idx="66">
                    <c:v>Sea - Break bulk - Maritime gas oil</c:v>
                  </c:pt>
                  <c:pt idx="67">
                    <c:v>Sea - Break bulk - Hydrogen</c:v>
                  </c:pt>
                  <c:pt idx="68">
                    <c:v>Sea - Break bulk - Ammonia</c:v>
                  </c:pt>
                  <c:pt idx="69">
                    <c:v>Sea - Break bulk - Methanol</c:v>
                  </c:pt>
                  <c:pt idx="70">
                    <c:v>Sea - Neon bulk - Heavy fuel oil</c:v>
                  </c:pt>
                  <c:pt idx="71">
                    <c:v>Sea - Neon bulk - Maritime gas oil</c:v>
                  </c:pt>
                  <c:pt idx="72">
                    <c:v>Sea - Neon bulk - Hydrogen</c:v>
                  </c:pt>
                  <c:pt idx="73">
                    <c:v>Sea - Neon bulk - Ammoina</c:v>
                  </c:pt>
                  <c:pt idx="74">
                    <c:v>Sea - Neon bulk - Methanol</c:v>
                  </c:pt>
                  <c:pt idx="75">
                    <c:v>Rail - Dry bulk - Diesel</c:v>
                  </c:pt>
                  <c:pt idx="76">
                    <c:v>Rail - Dry bulk - Catenary</c:v>
                  </c:pt>
                  <c:pt idx="77">
                    <c:v>Rail - Dry bulk - Battery</c:v>
                  </c:pt>
                  <c:pt idx="78">
                    <c:v>Rail - Dry bulk - Hydrogen</c:v>
                  </c:pt>
                  <c:pt idx="79">
                    <c:v>Rail - Liquid bulk - Diesel</c:v>
                  </c:pt>
                  <c:pt idx="80">
                    <c:v>Rail - Liquid bulk - Catenary</c:v>
                  </c:pt>
                  <c:pt idx="81">
                    <c:v>Rail - Liquid bulk - Battery</c:v>
                  </c:pt>
                  <c:pt idx="82">
                    <c:v>Rail - Liquid bulk - Hydrogen</c:v>
                  </c:pt>
                  <c:pt idx="83">
                    <c:v>Rail - Container - Diesel</c:v>
                  </c:pt>
                  <c:pt idx="84">
                    <c:v>Rail - Container - Catenary</c:v>
                  </c:pt>
                  <c:pt idx="85">
                    <c:v>Rail - Container - Battery</c:v>
                  </c:pt>
                  <c:pt idx="86">
                    <c:v>Rail - Container - Hydrogen</c:v>
                  </c:pt>
                  <c:pt idx="87">
                    <c:v>Rail - Break bulk - Diesel</c:v>
                  </c:pt>
                  <c:pt idx="88">
                    <c:v>Rail - Break bulk - Catenary</c:v>
                  </c:pt>
                  <c:pt idx="89">
                    <c:v>Rail - Break bulk - Battery</c:v>
                  </c:pt>
                  <c:pt idx="90">
                    <c:v>Rail - Break bulk - Hydrogen</c:v>
                  </c:pt>
                  <c:pt idx="91">
                    <c:v>Rail - Neon bulk - Diesel</c:v>
                  </c:pt>
                  <c:pt idx="92">
                    <c:v>Rail - Neon bulk - Catenary</c:v>
                  </c:pt>
                  <c:pt idx="93">
                    <c:v>Rail - Neon bulk - Battery</c:v>
                  </c:pt>
                  <c:pt idx="94">
                    <c:v>Rail - Neon bulk - Hydrogen</c:v>
                  </c:pt>
                  <c:pt idx="95">
                    <c:v>Road - Dry bulk - Diesel</c:v>
                  </c:pt>
                  <c:pt idx="96">
                    <c:v>Road - Dry bulk - Battery</c:v>
                  </c:pt>
                  <c:pt idx="97">
                    <c:v>Road - Dry bulk - Hydrogen</c:v>
                  </c:pt>
                  <c:pt idx="98">
                    <c:v>Road - Liquid bulk - Diesel</c:v>
                  </c:pt>
                  <c:pt idx="99">
                    <c:v>Road - Liquid bulk - Battery</c:v>
                  </c:pt>
                  <c:pt idx="100">
                    <c:v>Road - Liquid bulk - Hydrogen</c:v>
                  </c:pt>
                  <c:pt idx="101">
                    <c:v>Road - Container - Diesel</c:v>
                  </c:pt>
                  <c:pt idx="102">
                    <c:v>Road - Container - Battery</c:v>
                  </c:pt>
                  <c:pt idx="103">
                    <c:v>Road - Container - Hydrogen</c:v>
                  </c:pt>
                  <c:pt idx="104">
                    <c:v>Road - Break bulk - Diesel</c:v>
                  </c:pt>
                  <c:pt idx="105">
                    <c:v>Road - Break bulk - Battery</c:v>
                  </c:pt>
                  <c:pt idx="106">
                    <c:v>Road - Break bulk - Hydrogen</c:v>
                  </c:pt>
                  <c:pt idx="107">
                    <c:v>Road - Neon bulk - Diesel</c:v>
                  </c:pt>
                  <c:pt idx="108">
                    <c:v>Road - Neon bulk - Battery</c:v>
                  </c:pt>
                  <c:pt idx="109">
                    <c:v>Road - Neon bulk - Hydrogen</c:v>
                  </c:pt>
                  <c:pt idx="110">
                    <c:v>Sea - Dry bulk - Heavy fuel oil</c:v>
                  </c:pt>
                  <c:pt idx="111">
                    <c:v>Sea - Dry bulk - Maritime gas oil</c:v>
                  </c:pt>
                  <c:pt idx="112">
                    <c:v>Sea - Dry bulk - Hydrogen</c:v>
                  </c:pt>
                  <c:pt idx="113">
                    <c:v>Sea - Dry bulk - Ammonia</c:v>
                  </c:pt>
                  <c:pt idx="114">
                    <c:v>Sea - Dry bulk - Methanol</c:v>
                  </c:pt>
                  <c:pt idx="115">
                    <c:v>Sea - Container - Heavy fuel oil</c:v>
                  </c:pt>
                  <c:pt idx="116">
                    <c:v>Sea - Container - Maritime gas oil</c:v>
                  </c:pt>
                  <c:pt idx="117">
                    <c:v>Sea - Container - Hydrogen</c:v>
                  </c:pt>
                  <c:pt idx="118">
                    <c:v>Sea - Container - Ammonia</c:v>
                  </c:pt>
                  <c:pt idx="119">
                    <c:v>Sea - Container - Methanol</c:v>
                  </c:pt>
                  <c:pt idx="120">
                    <c:v>Sea - Break bulk - Heavy fuel oil</c:v>
                  </c:pt>
                  <c:pt idx="121">
                    <c:v>Sea - Break bulk - Maritime gas oil</c:v>
                  </c:pt>
                  <c:pt idx="122">
                    <c:v>Sea - Break bulk - Hydrogen</c:v>
                  </c:pt>
                  <c:pt idx="123">
                    <c:v>Sea - Break bulk - Ammonia</c:v>
                  </c:pt>
                  <c:pt idx="124">
                    <c:v>Sea - Break bulk - Methanol</c:v>
                  </c:pt>
                  <c:pt idx="125">
                    <c:v>Sea - Neon bulk - Heavy fuel oil</c:v>
                  </c:pt>
                  <c:pt idx="126">
                    <c:v>Sea - Neon bulk - Maritime gas oil</c:v>
                  </c:pt>
                  <c:pt idx="127">
                    <c:v>Sea - Neon bulk - Hydrogen</c:v>
                  </c:pt>
                  <c:pt idx="128">
                    <c:v>Sea - Neon bulk - Ammoina</c:v>
                  </c:pt>
                  <c:pt idx="129">
                    <c:v>Sea - Neon bulk - Methanol</c:v>
                  </c:pt>
                  <c:pt idx="130">
                    <c:v>Rail - Dry bulk - Diesel</c:v>
                  </c:pt>
                  <c:pt idx="131">
                    <c:v>Rail - Dry bulk - Catenary</c:v>
                  </c:pt>
                  <c:pt idx="132">
                    <c:v>Rail - Dry bulk - Battery</c:v>
                  </c:pt>
                  <c:pt idx="133">
                    <c:v>Rail - Dry bulk - Hydrogen</c:v>
                  </c:pt>
                  <c:pt idx="134">
                    <c:v>Rail - Liquid bulk - Diesel</c:v>
                  </c:pt>
                  <c:pt idx="135">
                    <c:v>Rail - Liquid bulk - Catenary</c:v>
                  </c:pt>
                  <c:pt idx="136">
                    <c:v>Rail - Liquid bulk - Battery</c:v>
                  </c:pt>
                  <c:pt idx="137">
                    <c:v>Rail - Liquid bulk - Hydrogen</c:v>
                  </c:pt>
                  <c:pt idx="138">
                    <c:v>Rail - Container - Diesel</c:v>
                  </c:pt>
                  <c:pt idx="139">
                    <c:v>Rail - Container - Catenary</c:v>
                  </c:pt>
                  <c:pt idx="140">
                    <c:v>Rail - Container - Battery</c:v>
                  </c:pt>
                  <c:pt idx="141">
                    <c:v>Rail - Container - Hydrogen</c:v>
                  </c:pt>
                  <c:pt idx="142">
                    <c:v>Rail - Break bulk - Diesel</c:v>
                  </c:pt>
                  <c:pt idx="143">
                    <c:v>Rail - Break bulk - Catenary</c:v>
                  </c:pt>
                  <c:pt idx="144">
                    <c:v>Rail - Break bulk - Battery</c:v>
                  </c:pt>
                  <c:pt idx="145">
                    <c:v>Rail - Break bulk - Hydrogen</c:v>
                  </c:pt>
                  <c:pt idx="146">
                    <c:v>Rail - Neon bulk - Diesel</c:v>
                  </c:pt>
                  <c:pt idx="147">
                    <c:v>Rail - Neon bulk - Catenary</c:v>
                  </c:pt>
                  <c:pt idx="148">
                    <c:v>Rail - Neon bulk - Battery</c:v>
                  </c:pt>
                  <c:pt idx="149">
                    <c:v>Rail - Neon bulk - Hydrogen</c:v>
                  </c:pt>
                  <c:pt idx="150">
                    <c:v>Road - Dry bulk - Diesel</c:v>
                  </c:pt>
                  <c:pt idx="151">
                    <c:v>Road - Dry bulk - Battery</c:v>
                  </c:pt>
                  <c:pt idx="152">
                    <c:v>Road - Dry bulk - Hydrogen</c:v>
                  </c:pt>
                  <c:pt idx="153">
                    <c:v>Road - Liquid bulk - Diesel</c:v>
                  </c:pt>
                  <c:pt idx="154">
                    <c:v>Road - Liquid bulk - Battery</c:v>
                  </c:pt>
                  <c:pt idx="155">
                    <c:v>Road - Liquid bulk - Hydrogen</c:v>
                  </c:pt>
                  <c:pt idx="156">
                    <c:v>Road - Container - Diesel</c:v>
                  </c:pt>
                  <c:pt idx="157">
                    <c:v>Road - Container - Battery</c:v>
                  </c:pt>
                  <c:pt idx="158">
                    <c:v>Road - Container - Hydrogen</c:v>
                  </c:pt>
                  <c:pt idx="159">
                    <c:v>Road - Break bulk - Diesel</c:v>
                  </c:pt>
                  <c:pt idx="160">
                    <c:v>Road - Break bulk - Battery</c:v>
                  </c:pt>
                  <c:pt idx="161">
                    <c:v>Road - Break bulk - Hydrogen</c:v>
                  </c:pt>
                  <c:pt idx="162">
                    <c:v>Road - Neon bulk - Diesel</c:v>
                  </c:pt>
                  <c:pt idx="163">
                    <c:v>Road - Neon bulk - Battery</c:v>
                  </c:pt>
                  <c:pt idx="164">
                    <c:v>Road - Neon bulk - Hydrogen</c:v>
                  </c:pt>
                </c:lvl>
                <c:lvl>
                  <c:pt idx="0">
                    <c:v>2023</c:v>
                  </c:pt>
                  <c:pt idx="55">
                    <c:v>2034</c:v>
                  </c:pt>
                  <c:pt idx="110">
                    <c:v>2050</c:v>
                  </c:pt>
                </c:lvl>
              </c:multiLvlStrCache>
            </c:multiLvlStrRef>
          </c:cat>
          <c:val>
            <c:numRef>
              <c:f>FIGURES!$B$9:$FC$9</c:f>
              <c:numCache>
                <c:formatCode>0.00</c:formatCode>
                <c:ptCount val="158"/>
                <c:pt idx="0" formatCode="0.00000">
                  <c:v>0</c:v>
                </c:pt>
                <c:pt idx="1">
                  <c:v>0</c:v>
                </c:pt>
                <c:pt idx="2">
                  <c:v>0</c:v>
                </c:pt>
                <c:pt idx="3">
                  <c:v>0</c:v>
                </c:pt>
                <c:pt idx="4">
                  <c:v>0</c:v>
                </c:pt>
                <c:pt idx="5" formatCode="General">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0.00000">
                  <c:v>0</c:v>
                </c:pt>
                <c:pt idx="56">
                  <c:v>0</c:v>
                </c:pt>
                <c:pt idx="57">
                  <c:v>0</c:v>
                </c:pt>
                <c:pt idx="58">
                  <c:v>0</c:v>
                </c:pt>
                <c:pt idx="59">
                  <c:v>0</c:v>
                </c:pt>
                <c:pt idx="60" formatCode="General">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formatCode="0.00000">
                  <c:v>0</c:v>
                </c:pt>
                <c:pt idx="111">
                  <c:v>0</c:v>
                </c:pt>
                <c:pt idx="112">
                  <c:v>0</c:v>
                </c:pt>
                <c:pt idx="113">
                  <c:v>0</c:v>
                </c:pt>
                <c:pt idx="114">
                  <c:v>0</c:v>
                </c:pt>
                <c:pt idx="115" formatCode="General">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extLst>
            <c:ext xmlns:c16="http://schemas.microsoft.com/office/drawing/2014/chart" uri="{C3380CC4-5D6E-409C-BE32-E72D297353CC}">
              <c16:uniqueId val="{00000003-F9C0-40FC-B5F5-8B7C4578ACB4}"/>
            </c:ext>
          </c:extLst>
        </c:ser>
        <c:ser>
          <c:idx val="4"/>
          <c:order val="4"/>
          <c:tx>
            <c:strRef>
              <c:f>FIGURES!$A$10</c:f>
              <c:strCache>
                <c:ptCount val="1"/>
                <c:pt idx="0">
                  <c:v>Opex fix (admin, crew, insurance)</c:v>
                </c:pt>
              </c:strCache>
            </c:strRef>
          </c:tx>
          <c:spPr>
            <a:solidFill>
              <a:schemeClr val="accent5"/>
            </a:solidFill>
            <a:ln>
              <a:noFill/>
            </a:ln>
            <a:effectLst/>
          </c:spPr>
          <c:invertIfNegative val="0"/>
          <c:cat>
            <c:multiLvlStrRef>
              <c:f>FIGURES!$B$4:$FJ$5</c:f>
              <c:multiLvlStrCache>
                <c:ptCount val="165"/>
                <c:lvl>
                  <c:pt idx="0">
                    <c:v>Sea - Dry bulk - Heavy fuel oil</c:v>
                  </c:pt>
                  <c:pt idx="1">
                    <c:v>Sea - Dry bulk - Maritime gas oil</c:v>
                  </c:pt>
                  <c:pt idx="2">
                    <c:v>Sea - Dry bulk - Hydrogen</c:v>
                  </c:pt>
                  <c:pt idx="3">
                    <c:v>Sea - Dry bulk - Ammonia</c:v>
                  </c:pt>
                  <c:pt idx="4">
                    <c:v>Sea - Dry bulk - Methanol</c:v>
                  </c:pt>
                  <c:pt idx="5">
                    <c:v>Sea - Container - Heavy fuel oil</c:v>
                  </c:pt>
                  <c:pt idx="6">
                    <c:v>Sea - Container - Maritime gas oil</c:v>
                  </c:pt>
                  <c:pt idx="7">
                    <c:v>Sea - Container - Hydrogen</c:v>
                  </c:pt>
                  <c:pt idx="8">
                    <c:v>Sea - Container - Ammonia</c:v>
                  </c:pt>
                  <c:pt idx="9">
                    <c:v>Sea - Container - Methanol</c:v>
                  </c:pt>
                  <c:pt idx="10">
                    <c:v>Sea - Break bulk - Heavy fuel oil</c:v>
                  </c:pt>
                  <c:pt idx="11">
                    <c:v>Sea - Break bulk - Maritime gas oil</c:v>
                  </c:pt>
                  <c:pt idx="12">
                    <c:v>Sea - Break bulk - Hydrogen</c:v>
                  </c:pt>
                  <c:pt idx="13">
                    <c:v>Sea - Break bulk - Ammonia</c:v>
                  </c:pt>
                  <c:pt idx="14">
                    <c:v>Sea - Break bulk - Methanol</c:v>
                  </c:pt>
                  <c:pt idx="15">
                    <c:v>Sea - Neon bulk - Heavy fuel oil</c:v>
                  </c:pt>
                  <c:pt idx="16">
                    <c:v>Sea - Neon bulk - Maritime gas oil</c:v>
                  </c:pt>
                  <c:pt idx="17">
                    <c:v>Sea - Neon bulk - Hydrogen</c:v>
                  </c:pt>
                  <c:pt idx="18">
                    <c:v>Sea - Neon bulk - Ammoina</c:v>
                  </c:pt>
                  <c:pt idx="19">
                    <c:v>Sea - Neon bulk - Methanol</c:v>
                  </c:pt>
                  <c:pt idx="20">
                    <c:v>Rail - Dry bulk - Diesel</c:v>
                  </c:pt>
                  <c:pt idx="21">
                    <c:v>Rail - Dry bulk - Catenary</c:v>
                  </c:pt>
                  <c:pt idx="22">
                    <c:v>Rail - Dry bulk - Battery</c:v>
                  </c:pt>
                  <c:pt idx="23">
                    <c:v>Rail - Dry bulk - Hydrogen</c:v>
                  </c:pt>
                  <c:pt idx="24">
                    <c:v>Rail - Liquid bulk - Diesel</c:v>
                  </c:pt>
                  <c:pt idx="25">
                    <c:v>Rail - Liquid bulk - Catenary</c:v>
                  </c:pt>
                  <c:pt idx="26">
                    <c:v>Rail - Liquid bulk - Battery</c:v>
                  </c:pt>
                  <c:pt idx="27">
                    <c:v>Rail - Liquid bulk - Hydrogen</c:v>
                  </c:pt>
                  <c:pt idx="28">
                    <c:v>Rail - Container - Diesel</c:v>
                  </c:pt>
                  <c:pt idx="29">
                    <c:v>Rail - Container - Catenary</c:v>
                  </c:pt>
                  <c:pt idx="30">
                    <c:v>Rail - Container - Battery</c:v>
                  </c:pt>
                  <c:pt idx="31">
                    <c:v>Rail - Container - Hydrogen</c:v>
                  </c:pt>
                  <c:pt idx="32">
                    <c:v>Rail - Break bulk - Diesel</c:v>
                  </c:pt>
                  <c:pt idx="33">
                    <c:v>Rail - Break bulk - Catenary</c:v>
                  </c:pt>
                  <c:pt idx="34">
                    <c:v>Rail - Break bulk - Battery</c:v>
                  </c:pt>
                  <c:pt idx="35">
                    <c:v>Rail - Break bulk - Hydrogen</c:v>
                  </c:pt>
                  <c:pt idx="36">
                    <c:v>Rail - Neon bulk - Diesel</c:v>
                  </c:pt>
                  <c:pt idx="37">
                    <c:v>Rail - Neon bulk - Catenary</c:v>
                  </c:pt>
                  <c:pt idx="38">
                    <c:v>Rail - Neon bulk - Battery</c:v>
                  </c:pt>
                  <c:pt idx="39">
                    <c:v>Rail - Neon bulk - Hydrogen</c:v>
                  </c:pt>
                  <c:pt idx="40">
                    <c:v>Road - Dry bulk - Diesel</c:v>
                  </c:pt>
                  <c:pt idx="41">
                    <c:v>Road - Dry bulk - Battery</c:v>
                  </c:pt>
                  <c:pt idx="42">
                    <c:v>Road - Dry bulk - Hydrogen</c:v>
                  </c:pt>
                  <c:pt idx="43">
                    <c:v>Road - Liquid bulk - Diesel</c:v>
                  </c:pt>
                  <c:pt idx="44">
                    <c:v>Road - Liquid bulk - Battery</c:v>
                  </c:pt>
                  <c:pt idx="45">
                    <c:v>Road - Liquid bulk - Hydrogen</c:v>
                  </c:pt>
                  <c:pt idx="46">
                    <c:v>Road - Container - Diesel</c:v>
                  </c:pt>
                  <c:pt idx="47">
                    <c:v>Road - Container - Battery</c:v>
                  </c:pt>
                  <c:pt idx="48">
                    <c:v>Road - Container - Hydrogen</c:v>
                  </c:pt>
                  <c:pt idx="49">
                    <c:v>Road - Break bulk - Diesel</c:v>
                  </c:pt>
                  <c:pt idx="50">
                    <c:v>Road - Break bulk - Battery</c:v>
                  </c:pt>
                  <c:pt idx="51">
                    <c:v>Road - Break bulk - Hydrogen</c:v>
                  </c:pt>
                  <c:pt idx="52">
                    <c:v>Road - Neon bulk - Diesel</c:v>
                  </c:pt>
                  <c:pt idx="53">
                    <c:v>Road - Neon bulk - Battery</c:v>
                  </c:pt>
                  <c:pt idx="54">
                    <c:v>Road - Neon bulk - Hydrogen</c:v>
                  </c:pt>
                  <c:pt idx="55">
                    <c:v>Sea - Dry bulk - Heavy fuel oil</c:v>
                  </c:pt>
                  <c:pt idx="56">
                    <c:v>Sea - Dry bulk - Maritime gas oil</c:v>
                  </c:pt>
                  <c:pt idx="57">
                    <c:v>Sea - Dry bulk - Hydrogen</c:v>
                  </c:pt>
                  <c:pt idx="58">
                    <c:v>Sea - Dry bulk - Ammonia</c:v>
                  </c:pt>
                  <c:pt idx="59">
                    <c:v>Sea - Dry bulk - Methanol</c:v>
                  </c:pt>
                  <c:pt idx="60">
                    <c:v>Sea - Container - Heavy fuel oil</c:v>
                  </c:pt>
                  <c:pt idx="61">
                    <c:v>Sea - Container - Maritime gas oil</c:v>
                  </c:pt>
                  <c:pt idx="62">
                    <c:v>Sea - Container - Hydrogen</c:v>
                  </c:pt>
                  <c:pt idx="63">
                    <c:v>Sea - Container - Ammonia</c:v>
                  </c:pt>
                  <c:pt idx="64">
                    <c:v>Sea - Container - Methanol</c:v>
                  </c:pt>
                  <c:pt idx="65">
                    <c:v>Sea - Break bulk - Heavy fuel oil</c:v>
                  </c:pt>
                  <c:pt idx="66">
                    <c:v>Sea - Break bulk - Maritime gas oil</c:v>
                  </c:pt>
                  <c:pt idx="67">
                    <c:v>Sea - Break bulk - Hydrogen</c:v>
                  </c:pt>
                  <c:pt idx="68">
                    <c:v>Sea - Break bulk - Ammonia</c:v>
                  </c:pt>
                  <c:pt idx="69">
                    <c:v>Sea - Break bulk - Methanol</c:v>
                  </c:pt>
                  <c:pt idx="70">
                    <c:v>Sea - Neon bulk - Heavy fuel oil</c:v>
                  </c:pt>
                  <c:pt idx="71">
                    <c:v>Sea - Neon bulk - Maritime gas oil</c:v>
                  </c:pt>
                  <c:pt idx="72">
                    <c:v>Sea - Neon bulk - Hydrogen</c:v>
                  </c:pt>
                  <c:pt idx="73">
                    <c:v>Sea - Neon bulk - Ammoina</c:v>
                  </c:pt>
                  <c:pt idx="74">
                    <c:v>Sea - Neon bulk - Methanol</c:v>
                  </c:pt>
                  <c:pt idx="75">
                    <c:v>Rail - Dry bulk - Diesel</c:v>
                  </c:pt>
                  <c:pt idx="76">
                    <c:v>Rail - Dry bulk - Catenary</c:v>
                  </c:pt>
                  <c:pt idx="77">
                    <c:v>Rail - Dry bulk - Battery</c:v>
                  </c:pt>
                  <c:pt idx="78">
                    <c:v>Rail - Dry bulk - Hydrogen</c:v>
                  </c:pt>
                  <c:pt idx="79">
                    <c:v>Rail - Liquid bulk - Diesel</c:v>
                  </c:pt>
                  <c:pt idx="80">
                    <c:v>Rail - Liquid bulk - Catenary</c:v>
                  </c:pt>
                  <c:pt idx="81">
                    <c:v>Rail - Liquid bulk - Battery</c:v>
                  </c:pt>
                  <c:pt idx="82">
                    <c:v>Rail - Liquid bulk - Hydrogen</c:v>
                  </c:pt>
                  <c:pt idx="83">
                    <c:v>Rail - Container - Diesel</c:v>
                  </c:pt>
                  <c:pt idx="84">
                    <c:v>Rail - Container - Catenary</c:v>
                  </c:pt>
                  <c:pt idx="85">
                    <c:v>Rail - Container - Battery</c:v>
                  </c:pt>
                  <c:pt idx="86">
                    <c:v>Rail - Container - Hydrogen</c:v>
                  </c:pt>
                  <c:pt idx="87">
                    <c:v>Rail - Break bulk - Diesel</c:v>
                  </c:pt>
                  <c:pt idx="88">
                    <c:v>Rail - Break bulk - Catenary</c:v>
                  </c:pt>
                  <c:pt idx="89">
                    <c:v>Rail - Break bulk - Battery</c:v>
                  </c:pt>
                  <c:pt idx="90">
                    <c:v>Rail - Break bulk - Hydrogen</c:v>
                  </c:pt>
                  <c:pt idx="91">
                    <c:v>Rail - Neon bulk - Diesel</c:v>
                  </c:pt>
                  <c:pt idx="92">
                    <c:v>Rail - Neon bulk - Catenary</c:v>
                  </c:pt>
                  <c:pt idx="93">
                    <c:v>Rail - Neon bulk - Battery</c:v>
                  </c:pt>
                  <c:pt idx="94">
                    <c:v>Rail - Neon bulk - Hydrogen</c:v>
                  </c:pt>
                  <c:pt idx="95">
                    <c:v>Road - Dry bulk - Diesel</c:v>
                  </c:pt>
                  <c:pt idx="96">
                    <c:v>Road - Dry bulk - Battery</c:v>
                  </c:pt>
                  <c:pt idx="97">
                    <c:v>Road - Dry bulk - Hydrogen</c:v>
                  </c:pt>
                  <c:pt idx="98">
                    <c:v>Road - Liquid bulk - Diesel</c:v>
                  </c:pt>
                  <c:pt idx="99">
                    <c:v>Road - Liquid bulk - Battery</c:v>
                  </c:pt>
                  <c:pt idx="100">
                    <c:v>Road - Liquid bulk - Hydrogen</c:v>
                  </c:pt>
                  <c:pt idx="101">
                    <c:v>Road - Container - Diesel</c:v>
                  </c:pt>
                  <c:pt idx="102">
                    <c:v>Road - Container - Battery</c:v>
                  </c:pt>
                  <c:pt idx="103">
                    <c:v>Road - Container - Hydrogen</c:v>
                  </c:pt>
                  <c:pt idx="104">
                    <c:v>Road - Break bulk - Diesel</c:v>
                  </c:pt>
                  <c:pt idx="105">
                    <c:v>Road - Break bulk - Battery</c:v>
                  </c:pt>
                  <c:pt idx="106">
                    <c:v>Road - Break bulk - Hydrogen</c:v>
                  </c:pt>
                  <c:pt idx="107">
                    <c:v>Road - Neon bulk - Diesel</c:v>
                  </c:pt>
                  <c:pt idx="108">
                    <c:v>Road - Neon bulk - Battery</c:v>
                  </c:pt>
                  <c:pt idx="109">
                    <c:v>Road - Neon bulk - Hydrogen</c:v>
                  </c:pt>
                  <c:pt idx="110">
                    <c:v>Sea - Dry bulk - Heavy fuel oil</c:v>
                  </c:pt>
                  <c:pt idx="111">
                    <c:v>Sea - Dry bulk - Maritime gas oil</c:v>
                  </c:pt>
                  <c:pt idx="112">
                    <c:v>Sea - Dry bulk - Hydrogen</c:v>
                  </c:pt>
                  <c:pt idx="113">
                    <c:v>Sea - Dry bulk - Ammonia</c:v>
                  </c:pt>
                  <c:pt idx="114">
                    <c:v>Sea - Dry bulk - Methanol</c:v>
                  </c:pt>
                  <c:pt idx="115">
                    <c:v>Sea - Container - Heavy fuel oil</c:v>
                  </c:pt>
                  <c:pt idx="116">
                    <c:v>Sea - Container - Maritime gas oil</c:v>
                  </c:pt>
                  <c:pt idx="117">
                    <c:v>Sea - Container - Hydrogen</c:v>
                  </c:pt>
                  <c:pt idx="118">
                    <c:v>Sea - Container - Ammonia</c:v>
                  </c:pt>
                  <c:pt idx="119">
                    <c:v>Sea - Container - Methanol</c:v>
                  </c:pt>
                  <c:pt idx="120">
                    <c:v>Sea - Break bulk - Heavy fuel oil</c:v>
                  </c:pt>
                  <c:pt idx="121">
                    <c:v>Sea - Break bulk - Maritime gas oil</c:v>
                  </c:pt>
                  <c:pt idx="122">
                    <c:v>Sea - Break bulk - Hydrogen</c:v>
                  </c:pt>
                  <c:pt idx="123">
                    <c:v>Sea - Break bulk - Ammonia</c:v>
                  </c:pt>
                  <c:pt idx="124">
                    <c:v>Sea - Break bulk - Methanol</c:v>
                  </c:pt>
                  <c:pt idx="125">
                    <c:v>Sea - Neon bulk - Heavy fuel oil</c:v>
                  </c:pt>
                  <c:pt idx="126">
                    <c:v>Sea - Neon bulk - Maritime gas oil</c:v>
                  </c:pt>
                  <c:pt idx="127">
                    <c:v>Sea - Neon bulk - Hydrogen</c:v>
                  </c:pt>
                  <c:pt idx="128">
                    <c:v>Sea - Neon bulk - Ammoina</c:v>
                  </c:pt>
                  <c:pt idx="129">
                    <c:v>Sea - Neon bulk - Methanol</c:v>
                  </c:pt>
                  <c:pt idx="130">
                    <c:v>Rail - Dry bulk - Diesel</c:v>
                  </c:pt>
                  <c:pt idx="131">
                    <c:v>Rail - Dry bulk - Catenary</c:v>
                  </c:pt>
                  <c:pt idx="132">
                    <c:v>Rail - Dry bulk - Battery</c:v>
                  </c:pt>
                  <c:pt idx="133">
                    <c:v>Rail - Dry bulk - Hydrogen</c:v>
                  </c:pt>
                  <c:pt idx="134">
                    <c:v>Rail - Liquid bulk - Diesel</c:v>
                  </c:pt>
                  <c:pt idx="135">
                    <c:v>Rail - Liquid bulk - Catenary</c:v>
                  </c:pt>
                  <c:pt idx="136">
                    <c:v>Rail - Liquid bulk - Battery</c:v>
                  </c:pt>
                  <c:pt idx="137">
                    <c:v>Rail - Liquid bulk - Hydrogen</c:v>
                  </c:pt>
                  <c:pt idx="138">
                    <c:v>Rail - Container - Diesel</c:v>
                  </c:pt>
                  <c:pt idx="139">
                    <c:v>Rail - Container - Catenary</c:v>
                  </c:pt>
                  <c:pt idx="140">
                    <c:v>Rail - Container - Battery</c:v>
                  </c:pt>
                  <c:pt idx="141">
                    <c:v>Rail - Container - Hydrogen</c:v>
                  </c:pt>
                  <c:pt idx="142">
                    <c:v>Rail - Break bulk - Diesel</c:v>
                  </c:pt>
                  <c:pt idx="143">
                    <c:v>Rail - Break bulk - Catenary</c:v>
                  </c:pt>
                  <c:pt idx="144">
                    <c:v>Rail - Break bulk - Battery</c:v>
                  </c:pt>
                  <c:pt idx="145">
                    <c:v>Rail - Break bulk - Hydrogen</c:v>
                  </c:pt>
                  <c:pt idx="146">
                    <c:v>Rail - Neon bulk - Diesel</c:v>
                  </c:pt>
                  <c:pt idx="147">
                    <c:v>Rail - Neon bulk - Catenary</c:v>
                  </c:pt>
                  <c:pt idx="148">
                    <c:v>Rail - Neon bulk - Battery</c:v>
                  </c:pt>
                  <c:pt idx="149">
                    <c:v>Rail - Neon bulk - Hydrogen</c:v>
                  </c:pt>
                  <c:pt idx="150">
                    <c:v>Road - Dry bulk - Diesel</c:v>
                  </c:pt>
                  <c:pt idx="151">
                    <c:v>Road - Dry bulk - Battery</c:v>
                  </c:pt>
                  <c:pt idx="152">
                    <c:v>Road - Dry bulk - Hydrogen</c:v>
                  </c:pt>
                  <c:pt idx="153">
                    <c:v>Road - Liquid bulk - Diesel</c:v>
                  </c:pt>
                  <c:pt idx="154">
                    <c:v>Road - Liquid bulk - Battery</c:v>
                  </c:pt>
                  <c:pt idx="155">
                    <c:v>Road - Liquid bulk - Hydrogen</c:v>
                  </c:pt>
                  <c:pt idx="156">
                    <c:v>Road - Container - Diesel</c:v>
                  </c:pt>
                  <c:pt idx="157">
                    <c:v>Road - Container - Battery</c:v>
                  </c:pt>
                  <c:pt idx="158">
                    <c:v>Road - Container - Hydrogen</c:v>
                  </c:pt>
                  <c:pt idx="159">
                    <c:v>Road - Break bulk - Diesel</c:v>
                  </c:pt>
                  <c:pt idx="160">
                    <c:v>Road - Break bulk - Battery</c:v>
                  </c:pt>
                  <c:pt idx="161">
                    <c:v>Road - Break bulk - Hydrogen</c:v>
                  </c:pt>
                  <c:pt idx="162">
                    <c:v>Road - Neon bulk - Diesel</c:v>
                  </c:pt>
                  <c:pt idx="163">
                    <c:v>Road - Neon bulk - Battery</c:v>
                  </c:pt>
                  <c:pt idx="164">
                    <c:v>Road - Neon bulk - Hydrogen</c:v>
                  </c:pt>
                </c:lvl>
                <c:lvl>
                  <c:pt idx="0">
                    <c:v>2023</c:v>
                  </c:pt>
                  <c:pt idx="55">
                    <c:v>2034</c:v>
                  </c:pt>
                  <c:pt idx="110">
                    <c:v>2050</c:v>
                  </c:pt>
                </c:lvl>
              </c:multiLvlStrCache>
            </c:multiLvlStrRef>
          </c:cat>
          <c:val>
            <c:numRef>
              <c:f>FIGURES!$B$10:$FC$10</c:f>
              <c:numCache>
                <c:formatCode>0.00</c:formatCode>
                <c:ptCount val="158"/>
                <c:pt idx="0" formatCode="0.00000">
                  <c:v>0</c:v>
                </c:pt>
                <c:pt idx="1">
                  <c:v>0</c:v>
                </c:pt>
                <c:pt idx="2">
                  <c:v>0</c:v>
                </c:pt>
                <c:pt idx="3">
                  <c:v>0</c:v>
                </c:pt>
                <c:pt idx="4">
                  <c:v>0</c:v>
                </c:pt>
                <c:pt idx="5" formatCode="General">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0.00000">
                  <c:v>0</c:v>
                </c:pt>
                <c:pt idx="56">
                  <c:v>0</c:v>
                </c:pt>
                <c:pt idx="57">
                  <c:v>0</c:v>
                </c:pt>
                <c:pt idx="58">
                  <c:v>0</c:v>
                </c:pt>
                <c:pt idx="59">
                  <c:v>0</c:v>
                </c:pt>
                <c:pt idx="60" formatCode="General">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formatCode="0.00000">
                  <c:v>0</c:v>
                </c:pt>
                <c:pt idx="111">
                  <c:v>0</c:v>
                </c:pt>
                <c:pt idx="112">
                  <c:v>0</c:v>
                </c:pt>
                <c:pt idx="113">
                  <c:v>0</c:v>
                </c:pt>
                <c:pt idx="114">
                  <c:v>0</c:v>
                </c:pt>
                <c:pt idx="115" formatCode="General">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extLst>
            <c:ext xmlns:c16="http://schemas.microsoft.com/office/drawing/2014/chart" uri="{C3380CC4-5D6E-409C-BE32-E72D297353CC}">
              <c16:uniqueId val="{00000004-F9C0-40FC-B5F5-8B7C4578ACB4}"/>
            </c:ext>
          </c:extLst>
        </c:ser>
        <c:ser>
          <c:idx val="5"/>
          <c:order val="5"/>
          <c:tx>
            <c:strRef>
              <c:f>FIGURES!$A$11</c:f>
              <c:strCache>
                <c:ptCount val="1"/>
                <c:pt idx="0">
                  <c:v>Opex maintenance &amp; repair</c:v>
                </c:pt>
              </c:strCache>
            </c:strRef>
          </c:tx>
          <c:spPr>
            <a:solidFill>
              <a:schemeClr val="accent6"/>
            </a:solidFill>
            <a:ln>
              <a:noFill/>
            </a:ln>
            <a:effectLst/>
          </c:spPr>
          <c:invertIfNegative val="0"/>
          <c:cat>
            <c:multiLvlStrRef>
              <c:f>FIGURES!$B$4:$FJ$5</c:f>
              <c:multiLvlStrCache>
                <c:ptCount val="165"/>
                <c:lvl>
                  <c:pt idx="0">
                    <c:v>Sea - Dry bulk - Heavy fuel oil</c:v>
                  </c:pt>
                  <c:pt idx="1">
                    <c:v>Sea - Dry bulk - Maritime gas oil</c:v>
                  </c:pt>
                  <c:pt idx="2">
                    <c:v>Sea - Dry bulk - Hydrogen</c:v>
                  </c:pt>
                  <c:pt idx="3">
                    <c:v>Sea - Dry bulk - Ammonia</c:v>
                  </c:pt>
                  <c:pt idx="4">
                    <c:v>Sea - Dry bulk - Methanol</c:v>
                  </c:pt>
                  <c:pt idx="5">
                    <c:v>Sea - Container - Heavy fuel oil</c:v>
                  </c:pt>
                  <c:pt idx="6">
                    <c:v>Sea - Container - Maritime gas oil</c:v>
                  </c:pt>
                  <c:pt idx="7">
                    <c:v>Sea - Container - Hydrogen</c:v>
                  </c:pt>
                  <c:pt idx="8">
                    <c:v>Sea - Container - Ammonia</c:v>
                  </c:pt>
                  <c:pt idx="9">
                    <c:v>Sea - Container - Methanol</c:v>
                  </c:pt>
                  <c:pt idx="10">
                    <c:v>Sea - Break bulk - Heavy fuel oil</c:v>
                  </c:pt>
                  <c:pt idx="11">
                    <c:v>Sea - Break bulk - Maritime gas oil</c:v>
                  </c:pt>
                  <c:pt idx="12">
                    <c:v>Sea - Break bulk - Hydrogen</c:v>
                  </c:pt>
                  <c:pt idx="13">
                    <c:v>Sea - Break bulk - Ammonia</c:v>
                  </c:pt>
                  <c:pt idx="14">
                    <c:v>Sea - Break bulk - Methanol</c:v>
                  </c:pt>
                  <c:pt idx="15">
                    <c:v>Sea - Neon bulk - Heavy fuel oil</c:v>
                  </c:pt>
                  <c:pt idx="16">
                    <c:v>Sea - Neon bulk - Maritime gas oil</c:v>
                  </c:pt>
                  <c:pt idx="17">
                    <c:v>Sea - Neon bulk - Hydrogen</c:v>
                  </c:pt>
                  <c:pt idx="18">
                    <c:v>Sea - Neon bulk - Ammoina</c:v>
                  </c:pt>
                  <c:pt idx="19">
                    <c:v>Sea - Neon bulk - Methanol</c:v>
                  </c:pt>
                  <c:pt idx="20">
                    <c:v>Rail - Dry bulk - Diesel</c:v>
                  </c:pt>
                  <c:pt idx="21">
                    <c:v>Rail - Dry bulk - Catenary</c:v>
                  </c:pt>
                  <c:pt idx="22">
                    <c:v>Rail - Dry bulk - Battery</c:v>
                  </c:pt>
                  <c:pt idx="23">
                    <c:v>Rail - Dry bulk - Hydrogen</c:v>
                  </c:pt>
                  <c:pt idx="24">
                    <c:v>Rail - Liquid bulk - Diesel</c:v>
                  </c:pt>
                  <c:pt idx="25">
                    <c:v>Rail - Liquid bulk - Catenary</c:v>
                  </c:pt>
                  <c:pt idx="26">
                    <c:v>Rail - Liquid bulk - Battery</c:v>
                  </c:pt>
                  <c:pt idx="27">
                    <c:v>Rail - Liquid bulk - Hydrogen</c:v>
                  </c:pt>
                  <c:pt idx="28">
                    <c:v>Rail - Container - Diesel</c:v>
                  </c:pt>
                  <c:pt idx="29">
                    <c:v>Rail - Container - Catenary</c:v>
                  </c:pt>
                  <c:pt idx="30">
                    <c:v>Rail - Container - Battery</c:v>
                  </c:pt>
                  <c:pt idx="31">
                    <c:v>Rail - Container - Hydrogen</c:v>
                  </c:pt>
                  <c:pt idx="32">
                    <c:v>Rail - Break bulk - Diesel</c:v>
                  </c:pt>
                  <c:pt idx="33">
                    <c:v>Rail - Break bulk - Catenary</c:v>
                  </c:pt>
                  <c:pt idx="34">
                    <c:v>Rail - Break bulk - Battery</c:v>
                  </c:pt>
                  <c:pt idx="35">
                    <c:v>Rail - Break bulk - Hydrogen</c:v>
                  </c:pt>
                  <c:pt idx="36">
                    <c:v>Rail - Neon bulk - Diesel</c:v>
                  </c:pt>
                  <c:pt idx="37">
                    <c:v>Rail - Neon bulk - Catenary</c:v>
                  </c:pt>
                  <c:pt idx="38">
                    <c:v>Rail - Neon bulk - Battery</c:v>
                  </c:pt>
                  <c:pt idx="39">
                    <c:v>Rail - Neon bulk - Hydrogen</c:v>
                  </c:pt>
                  <c:pt idx="40">
                    <c:v>Road - Dry bulk - Diesel</c:v>
                  </c:pt>
                  <c:pt idx="41">
                    <c:v>Road - Dry bulk - Battery</c:v>
                  </c:pt>
                  <c:pt idx="42">
                    <c:v>Road - Dry bulk - Hydrogen</c:v>
                  </c:pt>
                  <c:pt idx="43">
                    <c:v>Road - Liquid bulk - Diesel</c:v>
                  </c:pt>
                  <c:pt idx="44">
                    <c:v>Road - Liquid bulk - Battery</c:v>
                  </c:pt>
                  <c:pt idx="45">
                    <c:v>Road - Liquid bulk - Hydrogen</c:v>
                  </c:pt>
                  <c:pt idx="46">
                    <c:v>Road - Container - Diesel</c:v>
                  </c:pt>
                  <c:pt idx="47">
                    <c:v>Road - Container - Battery</c:v>
                  </c:pt>
                  <c:pt idx="48">
                    <c:v>Road - Container - Hydrogen</c:v>
                  </c:pt>
                  <c:pt idx="49">
                    <c:v>Road - Break bulk - Diesel</c:v>
                  </c:pt>
                  <c:pt idx="50">
                    <c:v>Road - Break bulk - Battery</c:v>
                  </c:pt>
                  <c:pt idx="51">
                    <c:v>Road - Break bulk - Hydrogen</c:v>
                  </c:pt>
                  <c:pt idx="52">
                    <c:v>Road - Neon bulk - Diesel</c:v>
                  </c:pt>
                  <c:pt idx="53">
                    <c:v>Road - Neon bulk - Battery</c:v>
                  </c:pt>
                  <c:pt idx="54">
                    <c:v>Road - Neon bulk - Hydrogen</c:v>
                  </c:pt>
                  <c:pt idx="55">
                    <c:v>Sea - Dry bulk - Heavy fuel oil</c:v>
                  </c:pt>
                  <c:pt idx="56">
                    <c:v>Sea - Dry bulk - Maritime gas oil</c:v>
                  </c:pt>
                  <c:pt idx="57">
                    <c:v>Sea - Dry bulk - Hydrogen</c:v>
                  </c:pt>
                  <c:pt idx="58">
                    <c:v>Sea - Dry bulk - Ammonia</c:v>
                  </c:pt>
                  <c:pt idx="59">
                    <c:v>Sea - Dry bulk - Methanol</c:v>
                  </c:pt>
                  <c:pt idx="60">
                    <c:v>Sea - Container - Heavy fuel oil</c:v>
                  </c:pt>
                  <c:pt idx="61">
                    <c:v>Sea - Container - Maritime gas oil</c:v>
                  </c:pt>
                  <c:pt idx="62">
                    <c:v>Sea - Container - Hydrogen</c:v>
                  </c:pt>
                  <c:pt idx="63">
                    <c:v>Sea - Container - Ammonia</c:v>
                  </c:pt>
                  <c:pt idx="64">
                    <c:v>Sea - Container - Methanol</c:v>
                  </c:pt>
                  <c:pt idx="65">
                    <c:v>Sea - Break bulk - Heavy fuel oil</c:v>
                  </c:pt>
                  <c:pt idx="66">
                    <c:v>Sea - Break bulk - Maritime gas oil</c:v>
                  </c:pt>
                  <c:pt idx="67">
                    <c:v>Sea - Break bulk - Hydrogen</c:v>
                  </c:pt>
                  <c:pt idx="68">
                    <c:v>Sea - Break bulk - Ammonia</c:v>
                  </c:pt>
                  <c:pt idx="69">
                    <c:v>Sea - Break bulk - Methanol</c:v>
                  </c:pt>
                  <c:pt idx="70">
                    <c:v>Sea - Neon bulk - Heavy fuel oil</c:v>
                  </c:pt>
                  <c:pt idx="71">
                    <c:v>Sea - Neon bulk - Maritime gas oil</c:v>
                  </c:pt>
                  <c:pt idx="72">
                    <c:v>Sea - Neon bulk - Hydrogen</c:v>
                  </c:pt>
                  <c:pt idx="73">
                    <c:v>Sea - Neon bulk - Ammoina</c:v>
                  </c:pt>
                  <c:pt idx="74">
                    <c:v>Sea - Neon bulk - Methanol</c:v>
                  </c:pt>
                  <c:pt idx="75">
                    <c:v>Rail - Dry bulk - Diesel</c:v>
                  </c:pt>
                  <c:pt idx="76">
                    <c:v>Rail - Dry bulk - Catenary</c:v>
                  </c:pt>
                  <c:pt idx="77">
                    <c:v>Rail - Dry bulk - Battery</c:v>
                  </c:pt>
                  <c:pt idx="78">
                    <c:v>Rail - Dry bulk - Hydrogen</c:v>
                  </c:pt>
                  <c:pt idx="79">
                    <c:v>Rail - Liquid bulk - Diesel</c:v>
                  </c:pt>
                  <c:pt idx="80">
                    <c:v>Rail - Liquid bulk - Catenary</c:v>
                  </c:pt>
                  <c:pt idx="81">
                    <c:v>Rail - Liquid bulk - Battery</c:v>
                  </c:pt>
                  <c:pt idx="82">
                    <c:v>Rail - Liquid bulk - Hydrogen</c:v>
                  </c:pt>
                  <c:pt idx="83">
                    <c:v>Rail - Container - Diesel</c:v>
                  </c:pt>
                  <c:pt idx="84">
                    <c:v>Rail - Container - Catenary</c:v>
                  </c:pt>
                  <c:pt idx="85">
                    <c:v>Rail - Container - Battery</c:v>
                  </c:pt>
                  <c:pt idx="86">
                    <c:v>Rail - Container - Hydrogen</c:v>
                  </c:pt>
                  <c:pt idx="87">
                    <c:v>Rail - Break bulk - Diesel</c:v>
                  </c:pt>
                  <c:pt idx="88">
                    <c:v>Rail - Break bulk - Catenary</c:v>
                  </c:pt>
                  <c:pt idx="89">
                    <c:v>Rail - Break bulk - Battery</c:v>
                  </c:pt>
                  <c:pt idx="90">
                    <c:v>Rail - Break bulk - Hydrogen</c:v>
                  </c:pt>
                  <c:pt idx="91">
                    <c:v>Rail - Neon bulk - Diesel</c:v>
                  </c:pt>
                  <c:pt idx="92">
                    <c:v>Rail - Neon bulk - Catenary</c:v>
                  </c:pt>
                  <c:pt idx="93">
                    <c:v>Rail - Neon bulk - Battery</c:v>
                  </c:pt>
                  <c:pt idx="94">
                    <c:v>Rail - Neon bulk - Hydrogen</c:v>
                  </c:pt>
                  <c:pt idx="95">
                    <c:v>Road - Dry bulk - Diesel</c:v>
                  </c:pt>
                  <c:pt idx="96">
                    <c:v>Road - Dry bulk - Battery</c:v>
                  </c:pt>
                  <c:pt idx="97">
                    <c:v>Road - Dry bulk - Hydrogen</c:v>
                  </c:pt>
                  <c:pt idx="98">
                    <c:v>Road - Liquid bulk - Diesel</c:v>
                  </c:pt>
                  <c:pt idx="99">
                    <c:v>Road - Liquid bulk - Battery</c:v>
                  </c:pt>
                  <c:pt idx="100">
                    <c:v>Road - Liquid bulk - Hydrogen</c:v>
                  </c:pt>
                  <c:pt idx="101">
                    <c:v>Road - Container - Diesel</c:v>
                  </c:pt>
                  <c:pt idx="102">
                    <c:v>Road - Container - Battery</c:v>
                  </c:pt>
                  <c:pt idx="103">
                    <c:v>Road - Container - Hydrogen</c:v>
                  </c:pt>
                  <c:pt idx="104">
                    <c:v>Road - Break bulk - Diesel</c:v>
                  </c:pt>
                  <c:pt idx="105">
                    <c:v>Road - Break bulk - Battery</c:v>
                  </c:pt>
                  <c:pt idx="106">
                    <c:v>Road - Break bulk - Hydrogen</c:v>
                  </c:pt>
                  <c:pt idx="107">
                    <c:v>Road - Neon bulk - Diesel</c:v>
                  </c:pt>
                  <c:pt idx="108">
                    <c:v>Road - Neon bulk - Battery</c:v>
                  </c:pt>
                  <c:pt idx="109">
                    <c:v>Road - Neon bulk - Hydrogen</c:v>
                  </c:pt>
                  <c:pt idx="110">
                    <c:v>Sea - Dry bulk - Heavy fuel oil</c:v>
                  </c:pt>
                  <c:pt idx="111">
                    <c:v>Sea - Dry bulk - Maritime gas oil</c:v>
                  </c:pt>
                  <c:pt idx="112">
                    <c:v>Sea - Dry bulk - Hydrogen</c:v>
                  </c:pt>
                  <c:pt idx="113">
                    <c:v>Sea - Dry bulk - Ammonia</c:v>
                  </c:pt>
                  <c:pt idx="114">
                    <c:v>Sea - Dry bulk - Methanol</c:v>
                  </c:pt>
                  <c:pt idx="115">
                    <c:v>Sea - Container - Heavy fuel oil</c:v>
                  </c:pt>
                  <c:pt idx="116">
                    <c:v>Sea - Container - Maritime gas oil</c:v>
                  </c:pt>
                  <c:pt idx="117">
                    <c:v>Sea - Container - Hydrogen</c:v>
                  </c:pt>
                  <c:pt idx="118">
                    <c:v>Sea - Container - Ammonia</c:v>
                  </c:pt>
                  <c:pt idx="119">
                    <c:v>Sea - Container - Methanol</c:v>
                  </c:pt>
                  <c:pt idx="120">
                    <c:v>Sea - Break bulk - Heavy fuel oil</c:v>
                  </c:pt>
                  <c:pt idx="121">
                    <c:v>Sea - Break bulk - Maritime gas oil</c:v>
                  </c:pt>
                  <c:pt idx="122">
                    <c:v>Sea - Break bulk - Hydrogen</c:v>
                  </c:pt>
                  <c:pt idx="123">
                    <c:v>Sea - Break bulk - Ammonia</c:v>
                  </c:pt>
                  <c:pt idx="124">
                    <c:v>Sea - Break bulk - Methanol</c:v>
                  </c:pt>
                  <c:pt idx="125">
                    <c:v>Sea - Neon bulk - Heavy fuel oil</c:v>
                  </c:pt>
                  <c:pt idx="126">
                    <c:v>Sea - Neon bulk - Maritime gas oil</c:v>
                  </c:pt>
                  <c:pt idx="127">
                    <c:v>Sea - Neon bulk - Hydrogen</c:v>
                  </c:pt>
                  <c:pt idx="128">
                    <c:v>Sea - Neon bulk - Ammoina</c:v>
                  </c:pt>
                  <c:pt idx="129">
                    <c:v>Sea - Neon bulk - Methanol</c:v>
                  </c:pt>
                  <c:pt idx="130">
                    <c:v>Rail - Dry bulk - Diesel</c:v>
                  </c:pt>
                  <c:pt idx="131">
                    <c:v>Rail - Dry bulk - Catenary</c:v>
                  </c:pt>
                  <c:pt idx="132">
                    <c:v>Rail - Dry bulk - Battery</c:v>
                  </c:pt>
                  <c:pt idx="133">
                    <c:v>Rail - Dry bulk - Hydrogen</c:v>
                  </c:pt>
                  <c:pt idx="134">
                    <c:v>Rail - Liquid bulk - Diesel</c:v>
                  </c:pt>
                  <c:pt idx="135">
                    <c:v>Rail - Liquid bulk - Catenary</c:v>
                  </c:pt>
                  <c:pt idx="136">
                    <c:v>Rail - Liquid bulk - Battery</c:v>
                  </c:pt>
                  <c:pt idx="137">
                    <c:v>Rail - Liquid bulk - Hydrogen</c:v>
                  </c:pt>
                  <c:pt idx="138">
                    <c:v>Rail - Container - Diesel</c:v>
                  </c:pt>
                  <c:pt idx="139">
                    <c:v>Rail - Container - Catenary</c:v>
                  </c:pt>
                  <c:pt idx="140">
                    <c:v>Rail - Container - Battery</c:v>
                  </c:pt>
                  <c:pt idx="141">
                    <c:v>Rail - Container - Hydrogen</c:v>
                  </c:pt>
                  <c:pt idx="142">
                    <c:v>Rail - Break bulk - Diesel</c:v>
                  </c:pt>
                  <c:pt idx="143">
                    <c:v>Rail - Break bulk - Catenary</c:v>
                  </c:pt>
                  <c:pt idx="144">
                    <c:v>Rail - Break bulk - Battery</c:v>
                  </c:pt>
                  <c:pt idx="145">
                    <c:v>Rail - Break bulk - Hydrogen</c:v>
                  </c:pt>
                  <c:pt idx="146">
                    <c:v>Rail - Neon bulk - Diesel</c:v>
                  </c:pt>
                  <c:pt idx="147">
                    <c:v>Rail - Neon bulk - Catenary</c:v>
                  </c:pt>
                  <c:pt idx="148">
                    <c:v>Rail - Neon bulk - Battery</c:v>
                  </c:pt>
                  <c:pt idx="149">
                    <c:v>Rail - Neon bulk - Hydrogen</c:v>
                  </c:pt>
                  <c:pt idx="150">
                    <c:v>Road - Dry bulk - Diesel</c:v>
                  </c:pt>
                  <c:pt idx="151">
                    <c:v>Road - Dry bulk - Battery</c:v>
                  </c:pt>
                  <c:pt idx="152">
                    <c:v>Road - Dry bulk - Hydrogen</c:v>
                  </c:pt>
                  <c:pt idx="153">
                    <c:v>Road - Liquid bulk - Diesel</c:v>
                  </c:pt>
                  <c:pt idx="154">
                    <c:v>Road - Liquid bulk - Battery</c:v>
                  </c:pt>
                  <c:pt idx="155">
                    <c:v>Road - Liquid bulk - Hydrogen</c:v>
                  </c:pt>
                  <c:pt idx="156">
                    <c:v>Road - Container - Diesel</c:v>
                  </c:pt>
                  <c:pt idx="157">
                    <c:v>Road - Container - Battery</c:v>
                  </c:pt>
                  <c:pt idx="158">
                    <c:v>Road - Container - Hydrogen</c:v>
                  </c:pt>
                  <c:pt idx="159">
                    <c:v>Road - Break bulk - Diesel</c:v>
                  </c:pt>
                  <c:pt idx="160">
                    <c:v>Road - Break bulk - Battery</c:v>
                  </c:pt>
                  <c:pt idx="161">
                    <c:v>Road - Break bulk - Hydrogen</c:v>
                  </c:pt>
                  <c:pt idx="162">
                    <c:v>Road - Neon bulk - Diesel</c:v>
                  </c:pt>
                  <c:pt idx="163">
                    <c:v>Road - Neon bulk - Battery</c:v>
                  </c:pt>
                  <c:pt idx="164">
                    <c:v>Road - Neon bulk - Hydrogen</c:v>
                  </c:pt>
                </c:lvl>
                <c:lvl>
                  <c:pt idx="0">
                    <c:v>2023</c:v>
                  </c:pt>
                  <c:pt idx="55">
                    <c:v>2034</c:v>
                  </c:pt>
                  <c:pt idx="110">
                    <c:v>2050</c:v>
                  </c:pt>
                </c:lvl>
              </c:multiLvlStrCache>
            </c:multiLvlStrRef>
          </c:cat>
          <c:val>
            <c:numRef>
              <c:f>FIGURES!$B$11:$FC$11</c:f>
              <c:numCache>
                <c:formatCode>0.00</c:formatCode>
                <c:ptCount val="158"/>
                <c:pt idx="0" formatCode="0.00000">
                  <c:v>0</c:v>
                </c:pt>
                <c:pt idx="1">
                  <c:v>0</c:v>
                </c:pt>
                <c:pt idx="2">
                  <c:v>0</c:v>
                </c:pt>
                <c:pt idx="3">
                  <c:v>0</c:v>
                </c:pt>
                <c:pt idx="4">
                  <c:v>0</c:v>
                </c:pt>
                <c:pt idx="5" formatCode="General">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0.00000">
                  <c:v>0</c:v>
                </c:pt>
                <c:pt idx="56">
                  <c:v>0</c:v>
                </c:pt>
                <c:pt idx="57">
                  <c:v>0</c:v>
                </c:pt>
                <c:pt idx="58">
                  <c:v>0</c:v>
                </c:pt>
                <c:pt idx="59">
                  <c:v>0</c:v>
                </c:pt>
                <c:pt idx="60" formatCode="General">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formatCode="0.00000">
                  <c:v>0</c:v>
                </c:pt>
                <c:pt idx="111">
                  <c:v>0</c:v>
                </c:pt>
                <c:pt idx="112">
                  <c:v>0</c:v>
                </c:pt>
                <c:pt idx="113">
                  <c:v>0</c:v>
                </c:pt>
                <c:pt idx="114">
                  <c:v>0</c:v>
                </c:pt>
                <c:pt idx="115" formatCode="General">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extLst>
            <c:ext xmlns:c16="http://schemas.microsoft.com/office/drawing/2014/chart" uri="{C3380CC4-5D6E-409C-BE32-E72D297353CC}">
              <c16:uniqueId val="{00000005-F9C0-40FC-B5F5-8B7C4578ACB4}"/>
            </c:ext>
          </c:extLst>
        </c:ser>
        <c:ser>
          <c:idx val="6"/>
          <c:order val="6"/>
          <c:tx>
            <c:strRef>
              <c:f>FIGURES!$A$12</c:f>
              <c:strCache>
                <c:ptCount val="1"/>
                <c:pt idx="0">
                  <c:v>Opex var (mode-fees)</c:v>
                </c:pt>
              </c:strCache>
            </c:strRef>
          </c:tx>
          <c:spPr>
            <a:solidFill>
              <a:schemeClr val="accent1">
                <a:lumMod val="60000"/>
              </a:schemeClr>
            </a:solidFill>
            <a:ln>
              <a:noFill/>
            </a:ln>
            <a:effectLst/>
          </c:spPr>
          <c:invertIfNegative val="0"/>
          <c:cat>
            <c:multiLvlStrRef>
              <c:f>FIGURES!$B$4:$FJ$5</c:f>
              <c:multiLvlStrCache>
                <c:ptCount val="165"/>
                <c:lvl>
                  <c:pt idx="0">
                    <c:v>Sea - Dry bulk - Heavy fuel oil</c:v>
                  </c:pt>
                  <c:pt idx="1">
                    <c:v>Sea - Dry bulk - Maritime gas oil</c:v>
                  </c:pt>
                  <c:pt idx="2">
                    <c:v>Sea - Dry bulk - Hydrogen</c:v>
                  </c:pt>
                  <c:pt idx="3">
                    <c:v>Sea - Dry bulk - Ammonia</c:v>
                  </c:pt>
                  <c:pt idx="4">
                    <c:v>Sea - Dry bulk - Methanol</c:v>
                  </c:pt>
                  <c:pt idx="5">
                    <c:v>Sea - Container - Heavy fuel oil</c:v>
                  </c:pt>
                  <c:pt idx="6">
                    <c:v>Sea - Container - Maritime gas oil</c:v>
                  </c:pt>
                  <c:pt idx="7">
                    <c:v>Sea - Container - Hydrogen</c:v>
                  </c:pt>
                  <c:pt idx="8">
                    <c:v>Sea - Container - Ammonia</c:v>
                  </c:pt>
                  <c:pt idx="9">
                    <c:v>Sea - Container - Methanol</c:v>
                  </c:pt>
                  <c:pt idx="10">
                    <c:v>Sea - Break bulk - Heavy fuel oil</c:v>
                  </c:pt>
                  <c:pt idx="11">
                    <c:v>Sea - Break bulk - Maritime gas oil</c:v>
                  </c:pt>
                  <c:pt idx="12">
                    <c:v>Sea - Break bulk - Hydrogen</c:v>
                  </c:pt>
                  <c:pt idx="13">
                    <c:v>Sea - Break bulk - Ammonia</c:v>
                  </c:pt>
                  <c:pt idx="14">
                    <c:v>Sea - Break bulk - Methanol</c:v>
                  </c:pt>
                  <c:pt idx="15">
                    <c:v>Sea - Neon bulk - Heavy fuel oil</c:v>
                  </c:pt>
                  <c:pt idx="16">
                    <c:v>Sea - Neon bulk - Maritime gas oil</c:v>
                  </c:pt>
                  <c:pt idx="17">
                    <c:v>Sea - Neon bulk - Hydrogen</c:v>
                  </c:pt>
                  <c:pt idx="18">
                    <c:v>Sea - Neon bulk - Ammoina</c:v>
                  </c:pt>
                  <c:pt idx="19">
                    <c:v>Sea - Neon bulk - Methanol</c:v>
                  </c:pt>
                  <c:pt idx="20">
                    <c:v>Rail - Dry bulk - Diesel</c:v>
                  </c:pt>
                  <c:pt idx="21">
                    <c:v>Rail - Dry bulk - Catenary</c:v>
                  </c:pt>
                  <c:pt idx="22">
                    <c:v>Rail - Dry bulk - Battery</c:v>
                  </c:pt>
                  <c:pt idx="23">
                    <c:v>Rail - Dry bulk - Hydrogen</c:v>
                  </c:pt>
                  <c:pt idx="24">
                    <c:v>Rail - Liquid bulk - Diesel</c:v>
                  </c:pt>
                  <c:pt idx="25">
                    <c:v>Rail - Liquid bulk - Catenary</c:v>
                  </c:pt>
                  <c:pt idx="26">
                    <c:v>Rail - Liquid bulk - Battery</c:v>
                  </c:pt>
                  <c:pt idx="27">
                    <c:v>Rail - Liquid bulk - Hydrogen</c:v>
                  </c:pt>
                  <c:pt idx="28">
                    <c:v>Rail - Container - Diesel</c:v>
                  </c:pt>
                  <c:pt idx="29">
                    <c:v>Rail - Container - Catenary</c:v>
                  </c:pt>
                  <c:pt idx="30">
                    <c:v>Rail - Container - Battery</c:v>
                  </c:pt>
                  <c:pt idx="31">
                    <c:v>Rail - Container - Hydrogen</c:v>
                  </c:pt>
                  <c:pt idx="32">
                    <c:v>Rail - Break bulk - Diesel</c:v>
                  </c:pt>
                  <c:pt idx="33">
                    <c:v>Rail - Break bulk - Catenary</c:v>
                  </c:pt>
                  <c:pt idx="34">
                    <c:v>Rail - Break bulk - Battery</c:v>
                  </c:pt>
                  <c:pt idx="35">
                    <c:v>Rail - Break bulk - Hydrogen</c:v>
                  </c:pt>
                  <c:pt idx="36">
                    <c:v>Rail - Neon bulk - Diesel</c:v>
                  </c:pt>
                  <c:pt idx="37">
                    <c:v>Rail - Neon bulk - Catenary</c:v>
                  </c:pt>
                  <c:pt idx="38">
                    <c:v>Rail - Neon bulk - Battery</c:v>
                  </c:pt>
                  <c:pt idx="39">
                    <c:v>Rail - Neon bulk - Hydrogen</c:v>
                  </c:pt>
                  <c:pt idx="40">
                    <c:v>Road - Dry bulk - Diesel</c:v>
                  </c:pt>
                  <c:pt idx="41">
                    <c:v>Road - Dry bulk - Battery</c:v>
                  </c:pt>
                  <c:pt idx="42">
                    <c:v>Road - Dry bulk - Hydrogen</c:v>
                  </c:pt>
                  <c:pt idx="43">
                    <c:v>Road - Liquid bulk - Diesel</c:v>
                  </c:pt>
                  <c:pt idx="44">
                    <c:v>Road - Liquid bulk - Battery</c:v>
                  </c:pt>
                  <c:pt idx="45">
                    <c:v>Road - Liquid bulk - Hydrogen</c:v>
                  </c:pt>
                  <c:pt idx="46">
                    <c:v>Road - Container - Diesel</c:v>
                  </c:pt>
                  <c:pt idx="47">
                    <c:v>Road - Container - Battery</c:v>
                  </c:pt>
                  <c:pt idx="48">
                    <c:v>Road - Container - Hydrogen</c:v>
                  </c:pt>
                  <c:pt idx="49">
                    <c:v>Road - Break bulk - Diesel</c:v>
                  </c:pt>
                  <c:pt idx="50">
                    <c:v>Road - Break bulk - Battery</c:v>
                  </c:pt>
                  <c:pt idx="51">
                    <c:v>Road - Break bulk - Hydrogen</c:v>
                  </c:pt>
                  <c:pt idx="52">
                    <c:v>Road - Neon bulk - Diesel</c:v>
                  </c:pt>
                  <c:pt idx="53">
                    <c:v>Road - Neon bulk - Battery</c:v>
                  </c:pt>
                  <c:pt idx="54">
                    <c:v>Road - Neon bulk - Hydrogen</c:v>
                  </c:pt>
                  <c:pt idx="55">
                    <c:v>Sea - Dry bulk - Heavy fuel oil</c:v>
                  </c:pt>
                  <c:pt idx="56">
                    <c:v>Sea - Dry bulk - Maritime gas oil</c:v>
                  </c:pt>
                  <c:pt idx="57">
                    <c:v>Sea - Dry bulk - Hydrogen</c:v>
                  </c:pt>
                  <c:pt idx="58">
                    <c:v>Sea - Dry bulk - Ammonia</c:v>
                  </c:pt>
                  <c:pt idx="59">
                    <c:v>Sea - Dry bulk - Methanol</c:v>
                  </c:pt>
                  <c:pt idx="60">
                    <c:v>Sea - Container - Heavy fuel oil</c:v>
                  </c:pt>
                  <c:pt idx="61">
                    <c:v>Sea - Container - Maritime gas oil</c:v>
                  </c:pt>
                  <c:pt idx="62">
                    <c:v>Sea - Container - Hydrogen</c:v>
                  </c:pt>
                  <c:pt idx="63">
                    <c:v>Sea - Container - Ammonia</c:v>
                  </c:pt>
                  <c:pt idx="64">
                    <c:v>Sea - Container - Methanol</c:v>
                  </c:pt>
                  <c:pt idx="65">
                    <c:v>Sea - Break bulk - Heavy fuel oil</c:v>
                  </c:pt>
                  <c:pt idx="66">
                    <c:v>Sea - Break bulk - Maritime gas oil</c:v>
                  </c:pt>
                  <c:pt idx="67">
                    <c:v>Sea - Break bulk - Hydrogen</c:v>
                  </c:pt>
                  <c:pt idx="68">
                    <c:v>Sea - Break bulk - Ammonia</c:v>
                  </c:pt>
                  <c:pt idx="69">
                    <c:v>Sea - Break bulk - Methanol</c:v>
                  </c:pt>
                  <c:pt idx="70">
                    <c:v>Sea - Neon bulk - Heavy fuel oil</c:v>
                  </c:pt>
                  <c:pt idx="71">
                    <c:v>Sea - Neon bulk - Maritime gas oil</c:v>
                  </c:pt>
                  <c:pt idx="72">
                    <c:v>Sea - Neon bulk - Hydrogen</c:v>
                  </c:pt>
                  <c:pt idx="73">
                    <c:v>Sea - Neon bulk - Ammoina</c:v>
                  </c:pt>
                  <c:pt idx="74">
                    <c:v>Sea - Neon bulk - Methanol</c:v>
                  </c:pt>
                  <c:pt idx="75">
                    <c:v>Rail - Dry bulk - Diesel</c:v>
                  </c:pt>
                  <c:pt idx="76">
                    <c:v>Rail - Dry bulk - Catenary</c:v>
                  </c:pt>
                  <c:pt idx="77">
                    <c:v>Rail - Dry bulk - Battery</c:v>
                  </c:pt>
                  <c:pt idx="78">
                    <c:v>Rail - Dry bulk - Hydrogen</c:v>
                  </c:pt>
                  <c:pt idx="79">
                    <c:v>Rail - Liquid bulk - Diesel</c:v>
                  </c:pt>
                  <c:pt idx="80">
                    <c:v>Rail - Liquid bulk - Catenary</c:v>
                  </c:pt>
                  <c:pt idx="81">
                    <c:v>Rail - Liquid bulk - Battery</c:v>
                  </c:pt>
                  <c:pt idx="82">
                    <c:v>Rail - Liquid bulk - Hydrogen</c:v>
                  </c:pt>
                  <c:pt idx="83">
                    <c:v>Rail - Container - Diesel</c:v>
                  </c:pt>
                  <c:pt idx="84">
                    <c:v>Rail - Container - Catenary</c:v>
                  </c:pt>
                  <c:pt idx="85">
                    <c:v>Rail - Container - Battery</c:v>
                  </c:pt>
                  <c:pt idx="86">
                    <c:v>Rail - Container - Hydrogen</c:v>
                  </c:pt>
                  <c:pt idx="87">
                    <c:v>Rail - Break bulk - Diesel</c:v>
                  </c:pt>
                  <c:pt idx="88">
                    <c:v>Rail - Break bulk - Catenary</c:v>
                  </c:pt>
                  <c:pt idx="89">
                    <c:v>Rail - Break bulk - Battery</c:v>
                  </c:pt>
                  <c:pt idx="90">
                    <c:v>Rail - Break bulk - Hydrogen</c:v>
                  </c:pt>
                  <c:pt idx="91">
                    <c:v>Rail - Neon bulk - Diesel</c:v>
                  </c:pt>
                  <c:pt idx="92">
                    <c:v>Rail - Neon bulk - Catenary</c:v>
                  </c:pt>
                  <c:pt idx="93">
                    <c:v>Rail - Neon bulk - Battery</c:v>
                  </c:pt>
                  <c:pt idx="94">
                    <c:v>Rail - Neon bulk - Hydrogen</c:v>
                  </c:pt>
                  <c:pt idx="95">
                    <c:v>Road - Dry bulk - Diesel</c:v>
                  </c:pt>
                  <c:pt idx="96">
                    <c:v>Road - Dry bulk - Battery</c:v>
                  </c:pt>
                  <c:pt idx="97">
                    <c:v>Road - Dry bulk - Hydrogen</c:v>
                  </c:pt>
                  <c:pt idx="98">
                    <c:v>Road - Liquid bulk - Diesel</c:v>
                  </c:pt>
                  <c:pt idx="99">
                    <c:v>Road - Liquid bulk - Battery</c:v>
                  </c:pt>
                  <c:pt idx="100">
                    <c:v>Road - Liquid bulk - Hydrogen</c:v>
                  </c:pt>
                  <c:pt idx="101">
                    <c:v>Road - Container - Diesel</c:v>
                  </c:pt>
                  <c:pt idx="102">
                    <c:v>Road - Container - Battery</c:v>
                  </c:pt>
                  <c:pt idx="103">
                    <c:v>Road - Container - Hydrogen</c:v>
                  </c:pt>
                  <c:pt idx="104">
                    <c:v>Road - Break bulk - Diesel</c:v>
                  </c:pt>
                  <c:pt idx="105">
                    <c:v>Road - Break bulk - Battery</c:v>
                  </c:pt>
                  <c:pt idx="106">
                    <c:v>Road - Break bulk - Hydrogen</c:v>
                  </c:pt>
                  <c:pt idx="107">
                    <c:v>Road - Neon bulk - Diesel</c:v>
                  </c:pt>
                  <c:pt idx="108">
                    <c:v>Road - Neon bulk - Battery</c:v>
                  </c:pt>
                  <c:pt idx="109">
                    <c:v>Road - Neon bulk - Hydrogen</c:v>
                  </c:pt>
                  <c:pt idx="110">
                    <c:v>Sea - Dry bulk - Heavy fuel oil</c:v>
                  </c:pt>
                  <c:pt idx="111">
                    <c:v>Sea - Dry bulk - Maritime gas oil</c:v>
                  </c:pt>
                  <c:pt idx="112">
                    <c:v>Sea - Dry bulk - Hydrogen</c:v>
                  </c:pt>
                  <c:pt idx="113">
                    <c:v>Sea - Dry bulk - Ammonia</c:v>
                  </c:pt>
                  <c:pt idx="114">
                    <c:v>Sea - Dry bulk - Methanol</c:v>
                  </c:pt>
                  <c:pt idx="115">
                    <c:v>Sea - Container - Heavy fuel oil</c:v>
                  </c:pt>
                  <c:pt idx="116">
                    <c:v>Sea - Container - Maritime gas oil</c:v>
                  </c:pt>
                  <c:pt idx="117">
                    <c:v>Sea - Container - Hydrogen</c:v>
                  </c:pt>
                  <c:pt idx="118">
                    <c:v>Sea - Container - Ammonia</c:v>
                  </c:pt>
                  <c:pt idx="119">
                    <c:v>Sea - Container - Methanol</c:v>
                  </c:pt>
                  <c:pt idx="120">
                    <c:v>Sea - Break bulk - Heavy fuel oil</c:v>
                  </c:pt>
                  <c:pt idx="121">
                    <c:v>Sea - Break bulk - Maritime gas oil</c:v>
                  </c:pt>
                  <c:pt idx="122">
                    <c:v>Sea - Break bulk - Hydrogen</c:v>
                  </c:pt>
                  <c:pt idx="123">
                    <c:v>Sea - Break bulk - Ammonia</c:v>
                  </c:pt>
                  <c:pt idx="124">
                    <c:v>Sea - Break bulk - Methanol</c:v>
                  </c:pt>
                  <c:pt idx="125">
                    <c:v>Sea - Neon bulk - Heavy fuel oil</c:v>
                  </c:pt>
                  <c:pt idx="126">
                    <c:v>Sea - Neon bulk - Maritime gas oil</c:v>
                  </c:pt>
                  <c:pt idx="127">
                    <c:v>Sea - Neon bulk - Hydrogen</c:v>
                  </c:pt>
                  <c:pt idx="128">
                    <c:v>Sea - Neon bulk - Ammoina</c:v>
                  </c:pt>
                  <c:pt idx="129">
                    <c:v>Sea - Neon bulk - Methanol</c:v>
                  </c:pt>
                  <c:pt idx="130">
                    <c:v>Rail - Dry bulk - Diesel</c:v>
                  </c:pt>
                  <c:pt idx="131">
                    <c:v>Rail - Dry bulk - Catenary</c:v>
                  </c:pt>
                  <c:pt idx="132">
                    <c:v>Rail - Dry bulk - Battery</c:v>
                  </c:pt>
                  <c:pt idx="133">
                    <c:v>Rail - Dry bulk - Hydrogen</c:v>
                  </c:pt>
                  <c:pt idx="134">
                    <c:v>Rail - Liquid bulk - Diesel</c:v>
                  </c:pt>
                  <c:pt idx="135">
                    <c:v>Rail - Liquid bulk - Catenary</c:v>
                  </c:pt>
                  <c:pt idx="136">
                    <c:v>Rail - Liquid bulk - Battery</c:v>
                  </c:pt>
                  <c:pt idx="137">
                    <c:v>Rail - Liquid bulk - Hydrogen</c:v>
                  </c:pt>
                  <c:pt idx="138">
                    <c:v>Rail - Container - Diesel</c:v>
                  </c:pt>
                  <c:pt idx="139">
                    <c:v>Rail - Container - Catenary</c:v>
                  </c:pt>
                  <c:pt idx="140">
                    <c:v>Rail - Container - Battery</c:v>
                  </c:pt>
                  <c:pt idx="141">
                    <c:v>Rail - Container - Hydrogen</c:v>
                  </c:pt>
                  <c:pt idx="142">
                    <c:v>Rail - Break bulk - Diesel</c:v>
                  </c:pt>
                  <c:pt idx="143">
                    <c:v>Rail - Break bulk - Catenary</c:v>
                  </c:pt>
                  <c:pt idx="144">
                    <c:v>Rail - Break bulk - Battery</c:v>
                  </c:pt>
                  <c:pt idx="145">
                    <c:v>Rail - Break bulk - Hydrogen</c:v>
                  </c:pt>
                  <c:pt idx="146">
                    <c:v>Rail - Neon bulk - Diesel</c:v>
                  </c:pt>
                  <c:pt idx="147">
                    <c:v>Rail - Neon bulk - Catenary</c:v>
                  </c:pt>
                  <c:pt idx="148">
                    <c:v>Rail - Neon bulk - Battery</c:v>
                  </c:pt>
                  <c:pt idx="149">
                    <c:v>Rail - Neon bulk - Hydrogen</c:v>
                  </c:pt>
                  <c:pt idx="150">
                    <c:v>Road - Dry bulk - Diesel</c:v>
                  </c:pt>
                  <c:pt idx="151">
                    <c:v>Road - Dry bulk - Battery</c:v>
                  </c:pt>
                  <c:pt idx="152">
                    <c:v>Road - Dry bulk - Hydrogen</c:v>
                  </c:pt>
                  <c:pt idx="153">
                    <c:v>Road - Liquid bulk - Diesel</c:v>
                  </c:pt>
                  <c:pt idx="154">
                    <c:v>Road - Liquid bulk - Battery</c:v>
                  </c:pt>
                  <c:pt idx="155">
                    <c:v>Road - Liquid bulk - Hydrogen</c:v>
                  </c:pt>
                  <c:pt idx="156">
                    <c:v>Road - Container - Diesel</c:v>
                  </c:pt>
                  <c:pt idx="157">
                    <c:v>Road - Container - Battery</c:v>
                  </c:pt>
                  <c:pt idx="158">
                    <c:v>Road - Container - Hydrogen</c:v>
                  </c:pt>
                  <c:pt idx="159">
                    <c:v>Road - Break bulk - Diesel</c:v>
                  </c:pt>
                  <c:pt idx="160">
                    <c:v>Road - Break bulk - Battery</c:v>
                  </c:pt>
                  <c:pt idx="161">
                    <c:v>Road - Break bulk - Hydrogen</c:v>
                  </c:pt>
                  <c:pt idx="162">
                    <c:v>Road - Neon bulk - Diesel</c:v>
                  </c:pt>
                  <c:pt idx="163">
                    <c:v>Road - Neon bulk - Battery</c:v>
                  </c:pt>
                  <c:pt idx="164">
                    <c:v>Road - Neon bulk - Hydrogen</c:v>
                  </c:pt>
                </c:lvl>
                <c:lvl>
                  <c:pt idx="0">
                    <c:v>2023</c:v>
                  </c:pt>
                  <c:pt idx="55">
                    <c:v>2034</c:v>
                  </c:pt>
                  <c:pt idx="110">
                    <c:v>2050</c:v>
                  </c:pt>
                </c:lvl>
              </c:multiLvlStrCache>
            </c:multiLvlStrRef>
          </c:cat>
          <c:val>
            <c:numRef>
              <c:f>FIGURES!$B$12:$FC$12</c:f>
              <c:numCache>
                <c:formatCode>0.00</c:formatCode>
                <c:ptCount val="158"/>
                <c:pt idx="0" formatCode="0.00000">
                  <c:v>0</c:v>
                </c:pt>
                <c:pt idx="1">
                  <c:v>0</c:v>
                </c:pt>
                <c:pt idx="2">
                  <c:v>0</c:v>
                </c:pt>
                <c:pt idx="3">
                  <c:v>0</c:v>
                </c:pt>
                <c:pt idx="4">
                  <c:v>0</c:v>
                </c:pt>
                <c:pt idx="5" formatCode="General">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0.00000">
                  <c:v>0</c:v>
                </c:pt>
                <c:pt idx="56">
                  <c:v>0</c:v>
                </c:pt>
                <c:pt idx="57">
                  <c:v>0</c:v>
                </c:pt>
                <c:pt idx="58">
                  <c:v>0</c:v>
                </c:pt>
                <c:pt idx="59">
                  <c:v>0</c:v>
                </c:pt>
                <c:pt idx="60" formatCode="General">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formatCode="0.00000">
                  <c:v>0</c:v>
                </c:pt>
                <c:pt idx="111">
                  <c:v>0</c:v>
                </c:pt>
                <c:pt idx="112">
                  <c:v>0</c:v>
                </c:pt>
                <c:pt idx="113">
                  <c:v>0</c:v>
                </c:pt>
                <c:pt idx="114">
                  <c:v>0</c:v>
                </c:pt>
                <c:pt idx="115" formatCode="General">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extLst>
            <c:ext xmlns:c16="http://schemas.microsoft.com/office/drawing/2014/chart" uri="{C3380CC4-5D6E-409C-BE32-E72D297353CC}">
              <c16:uniqueId val="{00000006-F9C0-40FC-B5F5-8B7C4578ACB4}"/>
            </c:ext>
          </c:extLst>
        </c:ser>
        <c:ser>
          <c:idx val="7"/>
          <c:order val="7"/>
          <c:tx>
            <c:strRef>
              <c:f>FIGURES!$A$13</c:f>
              <c:strCache>
                <c:ptCount val="1"/>
                <c:pt idx="0">
                  <c:v>Fuel Cost</c:v>
                </c:pt>
              </c:strCache>
            </c:strRef>
          </c:tx>
          <c:spPr>
            <a:solidFill>
              <a:schemeClr val="accent2">
                <a:lumMod val="60000"/>
              </a:schemeClr>
            </a:solidFill>
            <a:ln>
              <a:noFill/>
            </a:ln>
            <a:effectLst/>
          </c:spPr>
          <c:invertIfNegative val="0"/>
          <c:cat>
            <c:multiLvlStrRef>
              <c:f>FIGURES!$B$4:$FJ$5</c:f>
              <c:multiLvlStrCache>
                <c:ptCount val="165"/>
                <c:lvl>
                  <c:pt idx="0">
                    <c:v>Sea - Dry bulk - Heavy fuel oil</c:v>
                  </c:pt>
                  <c:pt idx="1">
                    <c:v>Sea - Dry bulk - Maritime gas oil</c:v>
                  </c:pt>
                  <c:pt idx="2">
                    <c:v>Sea - Dry bulk - Hydrogen</c:v>
                  </c:pt>
                  <c:pt idx="3">
                    <c:v>Sea - Dry bulk - Ammonia</c:v>
                  </c:pt>
                  <c:pt idx="4">
                    <c:v>Sea - Dry bulk - Methanol</c:v>
                  </c:pt>
                  <c:pt idx="5">
                    <c:v>Sea - Container - Heavy fuel oil</c:v>
                  </c:pt>
                  <c:pt idx="6">
                    <c:v>Sea - Container - Maritime gas oil</c:v>
                  </c:pt>
                  <c:pt idx="7">
                    <c:v>Sea - Container - Hydrogen</c:v>
                  </c:pt>
                  <c:pt idx="8">
                    <c:v>Sea - Container - Ammonia</c:v>
                  </c:pt>
                  <c:pt idx="9">
                    <c:v>Sea - Container - Methanol</c:v>
                  </c:pt>
                  <c:pt idx="10">
                    <c:v>Sea - Break bulk - Heavy fuel oil</c:v>
                  </c:pt>
                  <c:pt idx="11">
                    <c:v>Sea - Break bulk - Maritime gas oil</c:v>
                  </c:pt>
                  <c:pt idx="12">
                    <c:v>Sea - Break bulk - Hydrogen</c:v>
                  </c:pt>
                  <c:pt idx="13">
                    <c:v>Sea - Break bulk - Ammonia</c:v>
                  </c:pt>
                  <c:pt idx="14">
                    <c:v>Sea - Break bulk - Methanol</c:v>
                  </c:pt>
                  <c:pt idx="15">
                    <c:v>Sea - Neon bulk - Heavy fuel oil</c:v>
                  </c:pt>
                  <c:pt idx="16">
                    <c:v>Sea - Neon bulk - Maritime gas oil</c:v>
                  </c:pt>
                  <c:pt idx="17">
                    <c:v>Sea - Neon bulk - Hydrogen</c:v>
                  </c:pt>
                  <c:pt idx="18">
                    <c:v>Sea - Neon bulk - Ammoina</c:v>
                  </c:pt>
                  <c:pt idx="19">
                    <c:v>Sea - Neon bulk - Methanol</c:v>
                  </c:pt>
                  <c:pt idx="20">
                    <c:v>Rail - Dry bulk - Diesel</c:v>
                  </c:pt>
                  <c:pt idx="21">
                    <c:v>Rail - Dry bulk - Catenary</c:v>
                  </c:pt>
                  <c:pt idx="22">
                    <c:v>Rail - Dry bulk - Battery</c:v>
                  </c:pt>
                  <c:pt idx="23">
                    <c:v>Rail - Dry bulk - Hydrogen</c:v>
                  </c:pt>
                  <c:pt idx="24">
                    <c:v>Rail - Liquid bulk - Diesel</c:v>
                  </c:pt>
                  <c:pt idx="25">
                    <c:v>Rail - Liquid bulk - Catenary</c:v>
                  </c:pt>
                  <c:pt idx="26">
                    <c:v>Rail - Liquid bulk - Battery</c:v>
                  </c:pt>
                  <c:pt idx="27">
                    <c:v>Rail - Liquid bulk - Hydrogen</c:v>
                  </c:pt>
                  <c:pt idx="28">
                    <c:v>Rail - Container - Diesel</c:v>
                  </c:pt>
                  <c:pt idx="29">
                    <c:v>Rail - Container - Catenary</c:v>
                  </c:pt>
                  <c:pt idx="30">
                    <c:v>Rail - Container - Battery</c:v>
                  </c:pt>
                  <c:pt idx="31">
                    <c:v>Rail - Container - Hydrogen</c:v>
                  </c:pt>
                  <c:pt idx="32">
                    <c:v>Rail - Break bulk - Diesel</c:v>
                  </c:pt>
                  <c:pt idx="33">
                    <c:v>Rail - Break bulk - Catenary</c:v>
                  </c:pt>
                  <c:pt idx="34">
                    <c:v>Rail - Break bulk - Battery</c:v>
                  </c:pt>
                  <c:pt idx="35">
                    <c:v>Rail - Break bulk - Hydrogen</c:v>
                  </c:pt>
                  <c:pt idx="36">
                    <c:v>Rail - Neon bulk - Diesel</c:v>
                  </c:pt>
                  <c:pt idx="37">
                    <c:v>Rail - Neon bulk - Catenary</c:v>
                  </c:pt>
                  <c:pt idx="38">
                    <c:v>Rail - Neon bulk - Battery</c:v>
                  </c:pt>
                  <c:pt idx="39">
                    <c:v>Rail - Neon bulk - Hydrogen</c:v>
                  </c:pt>
                  <c:pt idx="40">
                    <c:v>Road - Dry bulk - Diesel</c:v>
                  </c:pt>
                  <c:pt idx="41">
                    <c:v>Road - Dry bulk - Battery</c:v>
                  </c:pt>
                  <c:pt idx="42">
                    <c:v>Road - Dry bulk - Hydrogen</c:v>
                  </c:pt>
                  <c:pt idx="43">
                    <c:v>Road - Liquid bulk - Diesel</c:v>
                  </c:pt>
                  <c:pt idx="44">
                    <c:v>Road - Liquid bulk - Battery</c:v>
                  </c:pt>
                  <c:pt idx="45">
                    <c:v>Road - Liquid bulk - Hydrogen</c:v>
                  </c:pt>
                  <c:pt idx="46">
                    <c:v>Road - Container - Diesel</c:v>
                  </c:pt>
                  <c:pt idx="47">
                    <c:v>Road - Container - Battery</c:v>
                  </c:pt>
                  <c:pt idx="48">
                    <c:v>Road - Container - Hydrogen</c:v>
                  </c:pt>
                  <c:pt idx="49">
                    <c:v>Road - Break bulk - Diesel</c:v>
                  </c:pt>
                  <c:pt idx="50">
                    <c:v>Road - Break bulk - Battery</c:v>
                  </c:pt>
                  <c:pt idx="51">
                    <c:v>Road - Break bulk - Hydrogen</c:v>
                  </c:pt>
                  <c:pt idx="52">
                    <c:v>Road - Neon bulk - Diesel</c:v>
                  </c:pt>
                  <c:pt idx="53">
                    <c:v>Road - Neon bulk - Battery</c:v>
                  </c:pt>
                  <c:pt idx="54">
                    <c:v>Road - Neon bulk - Hydrogen</c:v>
                  </c:pt>
                  <c:pt idx="55">
                    <c:v>Sea - Dry bulk - Heavy fuel oil</c:v>
                  </c:pt>
                  <c:pt idx="56">
                    <c:v>Sea - Dry bulk - Maritime gas oil</c:v>
                  </c:pt>
                  <c:pt idx="57">
                    <c:v>Sea - Dry bulk - Hydrogen</c:v>
                  </c:pt>
                  <c:pt idx="58">
                    <c:v>Sea - Dry bulk - Ammonia</c:v>
                  </c:pt>
                  <c:pt idx="59">
                    <c:v>Sea - Dry bulk - Methanol</c:v>
                  </c:pt>
                  <c:pt idx="60">
                    <c:v>Sea - Container - Heavy fuel oil</c:v>
                  </c:pt>
                  <c:pt idx="61">
                    <c:v>Sea - Container - Maritime gas oil</c:v>
                  </c:pt>
                  <c:pt idx="62">
                    <c:v>Sea - Container - Hydrogen</c:v>
                  </c:pt>
                  <c:pt idx="63">
                    <c:v>Sea - Container - Ammonia</c:v>
                  </c:pt>
                  <c:pt idx="64">
                    <c:v>Sea - Container - Methanol</c:v>
                  </c:pt>
                  <c:pt idx="65">
                    <c:v>Sea - Break bulk - Heavy fuel oil</c:v>
                  </c:pt>
                  <c:pt idx="66">
                    <c:v>Sea - Break bulk - Maritime gas oil</c:v>
                  </c:pt>
                  <c:pt idx="67">
                    <c:v>Sea - Break bulk - Hydrogen</c:v>
                  </c:pt>
                  <c:pt idx="68">
                    <c:v>Sea - Break bulk - Ammonia</c:v>
                  </c:pt>
                  <c:pt idx="69">
                    <c:v>Sea - Break bulk - Methanol</c:v>
                  </c:pt>
                  <c:pt idx="70">
                    <c:v>Sea - Neon bulk - Heavy fuel oil</c:v>
                  </c:pt>
                  <c:pt idx="71">
                    <c:v>Sea - Neon bulk - Maritime gas oil</c:v>
                  </c:pt>
                  <c:pt idx="72">
                    <c:v>Sea - Neon bulk - Hydrogen</c:v>
                  </c:pt>
                  <c:pt idx="73">
                    <c:v>Sea - Neon bulk - Ammoina</c:v>
                  </c:pt>
                  <c:pt idx="74">
                    <c:v>Sea - Neon bulk - Methanol</c:v>
                  </c:pt>
                  <c:pt idx="75">
                    <c:v>Rail - Dry bulk - Diesel</c:v>
                  </c:pt>
                  <c:pt idx="76">
                    <c:v>Rail - Dry bulk - Catenary</c:v>
                  </c:pt>
                  <c:pt idx="77">
                    <c:v>Rail - Dry bulk - Battery</c:v>
                  </c:pt>
                  <c:pt idx="78">
                    <c:v>Rail - Dry bulk - Hydrogen</c:v>
                  </c:pt>
                  <c:pt idx="79">
                    <c:v>Rail - Liquid bulk - Diesel</c:v>
                  </c:pt>
                  <c:pt idx="80">
                    <c:v>Rail - Liquid bulk - Catenary</c:v>
                  </c:pt>
                  <c:pt idx="81">
                    <c:v>Rail - Liquid bulk - Battery</c:v>
                  </c:pt>
                  <c:pt idx="82">
                    <c:v>Rail - Liquid bulk - Hydrogen</c:v>
                  </c:pt>
                  <c:pt idx="83">
                    <c:v>Rail - Container - Diesel</c:v>
                  </c:pt>
                  <c:pt idx="84">
                    <c:v>Rail - Container - Catenary</c:v>
                  </c:pt>
                  <c:pt idx="85">
                    <c:v>Rail - Container - Battery</c:v>
                  </c:pt>
                  <c:pt idx="86">
                    <c:v>Rail - Container - Hydrogen</c:v>
                  </c:pt>
                  <c:pt idx="87">
                    <c:v>Rail - Break bulk - Diesel</c:v>
                  </c:pt>
                  <c:pt idx="88">
                    <c:v>Rail - Break bulk - Catenary</c:v>
                  </c:pt>
                  <c:pt idx="89">
                    <c:v>Rail - Break bulk - Battery</c:v>
                  </c:pt>
                  <c:pt idx="90">
                    <c:v>Rail - Break bulk - Hydrogen</c:v>
                  </c:pt>
                  <c:pt idx="91">
                    <c:v>Rail - Neon bulk - Diesel</c:v>
                  </c:pt>
                  <c:pt idx="92">
                    <c:v>Rail - Neon bulk - Catenary</c:v>
                  </c:pt>
                  <c:pt idx="93">
                    <c:v>Rail - Neon bulk - Battery</c:v>
                  </c:pt>
                  <c:pt idx="94">
                    <c:v>Rail - Neon bulk - Hydrogen</c:v>
                  </c:pt>
                  <c:pt idx="95">
                    <c:v>Road - Dry bulk - Diesel</c:v>
                  </c:pt>
                  <c:pt idx="96">
                    <c:v>Road - Dry bulk - Battery</c:v>
                  </c:pt>
                  <c:pt idx="97">
                    <c:v>Road - Dry bulk - Hydrogen</c:v>
                  </c:pt>
                  <c:pt idx="98">
                    <c:v>Road - Liquid bulk - Diesel</c:v>
                  </c:pt>
                  <c:pt idx="99">
                    <c:v>Road - Liquid bulk - Battery</c:v>
                  </c:pt>
                  <c:pt idx="100">
                    <c:v>Road - Liquid bulk - Hydrogen</c:v>
                  </c:pt>
                  <c:pt idx="101">
                    <c:v>Road - Container - Diesel</c:v>
                  </c:pt>
                  <c:pt idx="102">
                    <c:v>Road - Container - Battery</c:v>
                  </c:pt>
                  <c:pt idx="103">
                    <c:v>Road - Container - Hydrogen</c:v>
                  </c:pt>
                  <c:pt idx="104">
                    <c:v>Road - Break bulk - Diesel</c:v>
                  </c:pt>
                  <c:pt idx="105">
                    <c:v>Road - Break bulk - Battery</c:v>
                  </c:pt>
                  <c:pt idx="106">
                    <c:v>Road - Break bulk - Hydrogen</c:v>
                  </c:pt>
                  <c:pt idx="107">
                    <c:v>Road - Neon bulk - Diesel</c:v>
                  </c:pt>
                  <c:pt idx="108">
                    <c:v>Road - Neon bulk - Battery</c:v>
                  </c:pt>
                  <c:pt idx="109">
                    <c:v>Road - Neon bulk - Hydrogen</c:v>
                  </c:pt>
                  <c:pt idx="110">
                    <c:v>Sea - Dry bulk - Heavy fuel oil</c:v>
                  </c:pt>
                  <c:pt idx="111">
                    <c:v>Sea - Dry bulk - Maritime gas oil</c:v>
                  </c:pt>
                  <c:pt idx="112">
                    <c:v>Sea - Dry bulk - Hydrogen</c:v>
                  </c:pt>
                  <c:pt idx="113">
                    <c:v>Sea - Dry bulk - Ammonia</c:v>
                  </c:pt>
                  <c:pt idx="114">
                    <c:v>Sea - Dry bulk - Methanol</c:v>
                  </c:pt>
                  <c:pt idx="115">
                    <c:v>Sea - Container - Heavy fuel oil</c:v>
                  </c:pt>
                  <c:pt idx="116">
                    <c:v>Sea - Container - Maritime gas oil</c:v>
                  </c:pt>
                  <c:pt idx="117">
                    <c:v>Sea - Container - Hydrogen</c:v>
                  </c:pt>
                  <c:pt idx="118">
                    <c:v>Sea - Container - Ammonia</c:v>
                  </c:pt>
                  <c:pt idx="119">
                    <c:v>Sea - Container - Methanol</c:v>
                  </c:pt>
                  <c:pt idx="120">
                    <c:v>Sea - Break bulk - Heavy fuel oil</c:v>
                  </c:pt>
                  <c:pt idx="121">
                    <c:v>Sea - Break bulk - Maritime gas oil</c:v>
                  </c:pt>
                  <c:pt idx="122">
                    <c:v>Sea - Break bulk - Hydrogen</c:v>
                  </c:pt>
                  <c:pt idx="123">
                    <c:v>Sea - Break bulk - Ammonia</c:v>
                  </c:pt>
                  <c:pt idx="124">
                    <c:v>Sea - Break bulk - Methanol</c:v>
                  </c:pt>
                  <c:pt idx="125">
                    <c:v>Sea - Neon bulk - Heavy fuel oil</c:v>
                  </c:pt>
                  <c:pt idx="126">
                    <c:v>Sea - Neon bulk - Maritime gas oil</c:v>
                  </c:pt>
                  <c:pt idx="127">
                    <c:v>Sea - Neon bulk - Hydrogen</c:v>
                  </c:pt>
                  <c:pt idx="128">
                    <c:v>Sea - Neon bulk - Ammoina</c:v>
                  </c:pt>
                  <c:pt idx="129">
                    <c:v>Sea - Neon bulk - Methanol</c:v>
                  </c:pt>
                  <c:pt idx="130">
                    <c:v>Rail - Dry bulk - Diesel</c:v>
                  </c:pt>
                  <c:pt idx="131">
                    <c:v>Rail - Dry bulk - Catenary</c:v>
                  </c:pt>
                  <c:pt idx="132">
                    <c:v>Rail - Dry bulk - Battery</c:v>
                  </c:pt>
                  <c:pt idx="133">
                    <c:v>Rail - Dry bulk - Hydrogen</c:v>
                  </c:pt>
                  <c:pt idx="134">
                    <c:v>Rail - Liquid bulk - Diesel</c:v>
                  </c:pt>
                  <c:pt idx="135">
                    <c:v>Rail - Liquid bulk - Catenary</c:v>
                  </c:pt>
                  <c:pt idx="136">
                    <c:v>Rail - Liquid bulk - Battery</c:v>
                  </c:pt>
                  <c:pt idx="137">
                    <c:v>Rail - Liquid bulk - Hydrogen</c:v>
                  </c:pt>
                  <c:pt idx="138">
                    <c:v>Rail - Container - Diesel</c:v>
                  </c:pt>
                  <c:pt idx="139">
                    <c:v>Rail - Container - Catenary</c:v>
                  </c:pt>
                  <c:pt idx="140">
                    <c:v>Rail - Container - Battery</c:v>
                  </c:pt>
                  <c:pt idx="141">
                    <c:v>Rail - Container - Hydrogen</c:v>
                  </c:pt>
                  <c:pt idx="142">
                    <c:v>Rail - Break bulk - Diesel</c:v>
                  </c:pt>
                  <c:pt idx="143">
                    <c:v>Rail - Break bulk - Catenary</c:v>
                  </c:pt>
                  <c:pt idx="144">
                    <c:v>Rail - Break bulk - Battery</c:v>
                  </c:pt>
                  <c:pt idx="145">
                    <c:v>Rail - Break bulk - Hydrogen</c:v>
                  </c:pt>
                  <c:pt idx="146">
                    <c:v>Rail - Neon bulk - Diesel</c:v>
                  </c:pt>
                  <c:pt idx="147">
                    <c:v>Rail - Neon bulk - Catenary</c:v>
                  </c:pt>
                  <c:pt idx="148">
                    <c:v>Rail - Neon bulk - Battery</c:v>
                  </c:pt>
                  <c:pt idx="149">
                    <c:v>Rail - Neon bulk - Hydrogen</c:v>
                  </c:pt>
                  <c:pt idx="150">
                    <c:v>Road - Dry bulk - Diesel</c:v>
                  </c:pt>
                  <c:pt idx="151">
                    <c:v>Road - Dry bulk - Battery</c:v>
                  </c:pt>
                  <c:pt idx="152">
                    <c:v>Road - Dry bulk - Hydrogen</c:v>
                  </c:pt>
                  <c:pt idx="153">
                    <c:v>Road - Liquid bulk - Diesel</c:v>
                  </c:pt>
                  <c:pt idx="154">
                    <c:v>Road - Liquid bulk - Battery</c:v>
                  </c:pt>
                  <c:pt idx="155">
                    <c:v>Road - Liquid bulk - Hydrogen</c:v>
                  </c:pt>
                  <c:pt idx="156">
                    <c:v>Road - Container - Diesel</c:v>
                  </c:pt>
                  <c:pt idx="157">
                    <c:v>Road - Container - Battery</c:v>
                  </c:pt>
                  <c:pt idx="158">
                    <c:v>Road - Container - Hydrogen</c:v>
                  </c:pt>
                  <c:pt idx="159">
                    <c:v>Road - Break bulk - Diesel</c:v>
                  </c:pt>
                  <c:pt idx="160">
                    <c:v>Road - Break bulk - Battery</c:v>
                  </c:pt>
                  <c:pt idx="161">
                    <c:v>Road - Break bulk - Hydrogen</c:v>
                  </c:pt>
                  <c:pt idx="162">
                    <c:v>Road - Neon bulk - Diesel</c:v>
                  </c:pt>
                  <c:pt idx="163">
                    <c:v>Road - Neon bulk - Battery</c:v>
                  </c:pt>
                  <c:pt idx="164">
                    <c:v>Road - Neon bulk - Hydrogen</c:v>
                  </c:pt>
                </c:lvl>
                <c:lvl>
                  <c:pt idx="0">
                    <c:v>2023</c:v>
                  </c:pt>
                  <c:pt idx="55">
                    <c:v>2034</c:v>
                  </c:pt>
                  <c:pt idx="110">
                    <c:v>2050</c:v>
                  </c:pt>
                </c:lvl>
              </c:multiLvlStrCache>
            </c:multiLvlStrRef>
          </c:cat>
          <c:val>
            <c:numRef>
              <c:f>FIGURES!$B$13:$FC$13</c:f>
              <c:numCache>
                <c:formatCode>0.00</c:formatCode>
                <c:ptCount val="158"/>
                <c:pt idx="0" formatCode="0.00000">
                  <c:v>0</c:v>
                </c:pt>
                <c:pt idx="1">
                  <c:v>0</c:v>
                </c:pt>
                <c:pt idx="2">
                  <c:v>0</c:v>
                </c:pt>
                <c:pt idx="3">
                  <c:v>0</c:v>
                </c:pt>
                <c:pt idx="4">
                  <c:v>0</c:v>
                </c:pt>
                <c:pt idx="5" formatCode="General">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0.00000">
                  <c:v>0</c:v>
                </c:pt>
                <c:pt idx="56">
                  <c:v>0</c:v>
                </c:pt>
                <c:pt idx="57">
                  <c:v>0</c:v>
                </c:pt>
                <c:pt idx="58">
                  <c:v>0</c:v>
                </c:pt>
                <c:pt idx="59">
                  <c:v>0</c:v>
                </c:pt>
                <c:pt idx="60" formatCode="General">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formatCode="0.00000">
                  <c:v>0</c:v>
                </c:pt>
                <c:pt idx="111">
                  <c:v>0</c:v>
                </c:pt>
                <c:pt idx="112">
                  <c:v>0</c:v>
                </c:pt>
                <c:pt idx="113">
                  <c:v>0</c:v>
                </c:pt>
                <c:pt idx="114">
                  <c:v>0</c:v>
                </c:pt>
                <c:pt idx="115" formatCode="General">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extLst>
            <c:ext xmlns:c16="http://schemas.microsoft.com/office/drawing/2014/chart" uri="{C3380CC4-5D6E-409C-BE32-E72D297353CC}">
              <c16:uniqueId val="{00000007-F9C0-40FC-B5F5-8B7C4578ACB4}"/>
            </c:ext>
          </c:extLst>
        </c:ser>
        <c:ser>
          <c:idx val="8"/>
          <c:order val="8"/>
          <c:tx>
            <c:strRef>
              <c:f>FIGURES!$A$14</c:f>
              <c:strCache>
                <c:ptCount val="1"/>
                <c:pt idx="0">
                  <c:v>Market failure (av. utilization)</c:v>
                </c:pt>
              </c:strCache>
            </c:strRef>
          </c:tx>
          <c:spPr>
            <a:solidFill>
              <a:schemeClr val="accent3">
                <a:lumMod val="60000"/>
              </a:schemeClr>
            </a:solidFill>
            <a:ln>
              <a:noFill/>
            </a:ln>
            <a:effectLst/>
          </c:spPr>
          <c:invertIfNegative val="0"/>
          <c:cat>
            <c:multiLvlStrRef>
              <c:f>FIGURES!$B$4:$FJ$5</c:f>
              <c:multiLvlStrCache>
                <c:ptCount val="165"/>
                <c:lvl>
                  <c:pt idx="0">
                    <c:v>Sea - Dry bulk - Heavy fuel oil</c:v>
                  </c:pt>
                  <c:pt idx="1">
                    <c:v>Sea - Dry bulk - Maritime gas oil</c:v>
                  </c:pt>
                  <c:pt idx="2">
                    <c:v>Sea - Dry bulk - Hydrogen</c:v>
                  </c:pt>
                  <c:pt idx="3">
                    <c:v>Sea - Dry bulk - Ammonia</c:v>
                  </c:pt>
                  <c:pt idx="4">
                    <c:v>Sea - Dry bulk - Methanol</c:v>
                  </c:pt>
                  <c:pt idx="5">
                    <c:v>Sea - Container - Heavy fuel oil</c:v>
                  </c:pt>
                  <c:pt idx="6">
                    <c:v>Sea - Container - Maritime gas oil</c:v>
                  </c:pt>
                  <c:pt idx="7">
                    <c:v>Sea - Container - Hydrogen</c:v>
                  </c:pt>
                  <c:pt idx="8">
                    <c:v>Sea - Container - Ammonia</c:v>
                  </c:pt>
                  <c:pt idx="9">
                    <c:v>Sea - Container - Methanol</c:v>
                  </c:pt>
                  <c:pt idx="10">
                    <c:v>Sea - Break bulk - Heavy fuel oil</c:v>
                  </c:pt>
                  <c:pt idx="11">
                    <c:v>Sea - Break bulk - Maritime gas oil</c:v>
                  </c:pt>
                  <c:pt idx="12">
                    <c:v>Sea - Break bulk - Hydrogen</c:v>
                  </c:pt>
                  <c:pt idx="13">
                    <c:v>Sea - Break bulk - Ammonia</c:v>
                  </c:pt>
                  <c:pt idx="14">
                    <c:v>Sea - Break bulk - Methanol</c:v>
                  </c:pt>
                  <c:pt idx="15">
                    <c:v>Sea - Neon bulk - Heavy fuel oil</c:v>
                  </c:pt>
                  <c:pt idx="16">
                    <c:v>Sea - Neon bulk - Maritime gas oil</c:v>
                  </c:pt>
                  <c:pt idx="17">
                    <c:v>Sea - Neon bulk - Hydrogen</c:v>
                  </c:pt>
                  <c:pt idx="18">
                    <c:v>Sea - Neon bulk - Ammoina</c:v>
                  </c:pt>
                  <c:pt idx="19">
                    <c:v>Sea - Neon bulk - Methanol</c:v>
                  </c:pt>
                  <c:pt idx="20">
                    <c:v>Rail - Dry bulk - Diesel</c:v>
                  </c:pt>
                  <c:pt idx="21">
                    <c:v>Rail - Dry bulk - Catenary</c:v>
                  </c:pt>
                  <c:pt idx="22">
                    <c:v>Rail - Dry bulk - Battery</c:v>
                  </c:pt>
                  <c:pt idx="23">
                    <c:v>Rail - Dry bulk - Hydrogen</c:v>
                  </c:pt>
                  <c:pt idx="24">
                    <c:v>Rail - Liquid bulk - Diesel</c:v>
                  </c:pt>
                  <c:pt idx="25">
                    <c:v>Rail - Liquid bulk - Catenary</c:v>
                  </c:pt>
                  <c:pt idx="26">
                    <c:v>Rail - Liquid bulk - Battery</c:v>
                  </c:pt>
                  <c:pt idx="27">
                    <c:v>Rail - Liquid bulk - Hydrogen</c:v>
                  </c:pt>
                  <c:pt idx="28">
                    <c:v>Rail - Container - Diesel</c:v>
                  </c:pt>
                  <c:pt idx="29">
                    <c:v>Rail - Container - Catenary</c:v>
                  </c:pt>
                  <c:pt idx="30">
                    <c:v>Rail - Container - Battery</c:v>
                  </c:pt>
                  <c:pt idx="31">
                    <c:v>Rail - Container - Hydrogen</c:v>
                  </c:pt>
                  <c:pt idx="32">
                    <c:v>Rail - Break bulk - Diesel</c:v>
                  </c:pt>
                  <c:pt idx="33">
                    <c:v>Rail - Break bulk - Catenary</c:v>
                  </c:pt>
                  <c:pt idx="34">
                    <c:v>Rail - Break bulk - Battery</c:v>
                  </c:pt>
                  <c:pt idx="35">
                    <c:v>Rail - Break bulk - Hydrogen</c:v>
                  </c:pt>
                  <c:pt idx="36">
                    <c:v>Rail - Neon bulk - Diesel</c:v>
                  </c:pt>
                  <c:pt idx="37">
                    <c:v>Rail - Neon bulk - Catenary</c:v>
                  </c:pt>
                  <c:pt idx="38">
                    <c:v>Rail - Neon bulk - Battery</c:v>
                  </c:pt>
                  <c:pt idx="39">
                    <c:v>Rail - Neon bulk - Hydrogen</c:v>
                  </c:pt>
                  <c:pt idx="40">
                    <c:v>Road - Dry bulk - Diesel</c:v>
                  </c:pt>
                  <c:pt idx="41">
                    <c:v>Road - Dry bulk - Battery</c:v>
                  </c:pt>
                  <c:pt idx="42">
                    <c:v>Road - Dry bulk - Hydrogen</c:v>
                  </c:pt>
                  <c:pt idx="43">
                    <c:v>Road - Liquid bulk - Diesel</c:v>
                  </c:pt>
                  <c:pt idx="44">
                    <c:v>Road - Liquid bulk - Battery</c:v>
                  </c:pt>
                  <c:pt idx="45">
                    <c:v>Road - Liquid bulk - Hydrogen</c:v>
                  </c:pt>
                  <c:pt idx="46">
                    <c:v>Road - Container - Diesel</c:v>
                  </c:pt>
                  <c:pt idx="47">
                    <c:v>Road - Container - Battery</c:v>
                  </c:pt>
                  <c:pt idx="48">
                    <c:v>Road - Container - Hydrogen</c:v>
                  </c:pt>
                  <c:pt idx="49">
                    <c:v>Road - Break bulk - Diesel</c:v>
                  </c:pt>
                  <c:pt idx="50">
                    <c:v>Road - Break bulk - Battery</c:v>
                  </c:pt>
                  <c:pt idx="51">
                    <c:v>Road - Break bulk - Hydrogen</c:v>
                  </c:pt>
                  <c:pt idx="52">
                    <c:v>Road - Neon bulk - Diesel</c:v>
                  </c:pt>
                  <c:pt idx="53">
                    <c:v>Road - Neon bulk - Battery</c:v>
                  </c:pt>
                  <c:pt idx="54">
                    <c:v>Road - Neon bulk - Hydrogen</c:v>
                  </c:pt>
                  <c:pt idx="55">
                    <c:v>Sea - Dry bulk - Heavy fuel oil</c:v>
                  </c:pt>
                  <c:pt idx="56">
                    <c:v>Sea - Dry bulk - Maritime gas oil</c:v>
                  </c:pt>
                  <c:pt idx="57">
                    <c:v>Sea - Dry bulk - Hydrogen</c:v>
                  </c:pt>
                  <c:pt idx="58">
                    <c:v>Sea - Dry bulk - Ammonia</c:v>
                  </c:pt>
                  <c:pt idx="59">
                    <c:v>Sea - Dry bulk - Methanol</c:v>
                  </c:pt>
                  <c:pt idx="60">
                    <c:v>Sea - Container - Heavy fuel oil</c:v>
                  </c:pt>
                  <c:pt idx="61">
                    <c:v>Sea - Container - Maritime gas oil</c:v>
                  </c:pt>
                  <c:pt idx="62">
                    <c:v>Sea - Container - Hydrogen</c:v>
                  </c:pt>
                  <c:pt idx="63">
                    <c:v>Sea - Container - Ammonia</c:v>
                  </c:pt>
                  <c:pt idx="64">
                    <c:v>Sea - Container - Methanol</c:v>
                  </c:pt>
                  <c:pt idx="65">
                    <c:v>Sea - Break bulk - Heavy fuel oil</c:v>
                  </c:pt>
                  <c:pt idx="66">
                    <c:v>Sea - Break bulk - Maritime gas oil</c:v>
                  </c:pt>
                  <c:pt idx="67">
                    <c:v>Sea - Break bulk - Hydrogen</c:v>
                  </c:pt>
                  <c:pt idx="68">
                    <c:v>Sea - Break bulk - Ammonia</c:v>
                  </c:pt>
                  <c:pt idx="69">
                    <c:v>Sea - Break bulk - Methanol</c:v>
                  </c:pt>
                  <c:pt idx="70">
                    <c:v>Sea - Neon bulk - Heavy fuel oil</c:v>
                  </c:pt>
                  <c:pt idx="71">
                    <c:v>Sea - Neon bulk - Maritime gas oil</c:v>
                  </c:pt>
                  <c:pt idx="72">
                    <c:v>Sea - Neon bulk - Hydrogen</c:v>
                  </c:pt>
                  <c:pt idx="73">
                    <c:v>Sea - Neon bulk - Ammoina</c:v>
                  </c:pt>
                  <c:pt idx="74">
                    <c:v>Sea - Neon bulk - Methanol</c:v>
                  </c:pt>
                  <c:pt idx="75">
                    <c:v>Rail - Dry bulk - Diesel</c:v>
                  </c:pt>
                  <c:pt idx="76">
                    <c:v>Rail - Dry bulk - Catenary</c:v>
                  </c:pt>
                  <c:pt idx="77">
                    <c:v>Rail - Dry bulk - Battery</c:v>
                  </c:pt>
                  <c:pt idx="78">
                    <c:v>Rail - Dry bulk - Hydrogen</c:v>
                  </c:pt>
                  <c:pt idx="79">
                    <c:v>Rail - Liquid bulk - Diesel</c:v>
                  </c:pt>
                  <c:pt idx="80">
                    <c:v>Rail - Liquid bulk - Catenary</c:v>
                  </c:pt>
                  <c:pt idx="81">
                    <c:v>Rail - Liquid bulk - Battery</c:v>
                  </c:pt>
                  <c:pt idx="82">
                    <c:v>Rail - Liquid bulk - Hydrogen</c:v>
                  </c:pt>
                  <c:pt idx="83">
                    <c:v>Rail - Container - Diesel</c:v>
                  </c:pt>
                  <c:pt idx="84">
                    <c:v>Rail - Container - Catenary</c:v>
                  </c:pt>
                  <c:pt idx="85">
                    <c:v>Rail - Container - Battery</c:v>
                  </c:pt>
                  <c:pt idx="86">
                    <c:v>Rail - Container - Hydrogen</c:v>
                  </c:pt>
                  <c:pt idx="87">
                    <c:v>Rail - Break bulk - Diesel</c:v>
                  </c:pt>
                  <c:pt idx="88">
                    <c:v>Rail - Break bulk - Catenary</c:v>
                  </c:pt>
                  <c:pt idx="89">
                    <c:v>Rail - Break bulk - Battery</c:v>
                  </c:pt>
                  <c:pt idx="90">
                    <c:v>Rail - Break bulk - Hydrogen</c:v>
                  </c:pt>
                  <c:pt idx="91">
                    <c:v>Rail - Neon bulk - Diesel</c:v>
                  </c:pt>
                  <c:pt idx="92">
                    <c:v>Rail - Neon bulk - Catenary</c:v>
                  </c:pt>
                  <c:pt idx="93">
                    <c:v>Rail - Neon bulk - Battery</c:v>
                  </c:pt>
                  <c:pt idx="94">
                    <c:v>Rail - Neon bulk - Hydrogen</c:v>
                  </c:pt>
                  <c:pt idx="95">
                    <c:v>Road - Dry bulk - Diesel</c:v>
                  </c:pt>
                  <c:pt idx="96">
                    <c:v>Road - Dry bulk - Battery</c:v>
                  </c:pt>
                  <c:pt idx="97">
                    <c:v>Road - Dry bulk - Hydrogen</c:v>
                  </c:pt>
                  <c:pt idx="98">
                    <c:v>Road - Liquid bulk - Diesel</c:v>
                  </c:pt>
                  <c:pt idx="99">
                    <c:v>Road - Liquid bulk - Battery</c:v>
                  </c:pt>
                  <c:pt idx="100">
                    <c:v>Road - Liquid bulk - Hydrogen</c:v>
                  </c:pt>
                  <c:pt idx="101">
                    <c:v>Road - Container - Diesel</c:v>
                  </c:pt>
                  <c:pt idx="102">
                    <c:v>Road - Container - Battery</c:v>
                  </c:pt>
                  <c:pt idx="103">
                    <c:v>Road - Container - Hydrogen</c:v>
                  </c:pt>
                  <c:pt idx="104">
                    <c:v>Road - Break bulk - Diesel</c:v>
                  </c:pt>
                  <c:pt idx="105">
                    <c:v>Road - Break bulk - Battery</c:v>
                  </c:pt>
                  <c:pt idx="106">
                    <c:v>Road - Break bulk - Hydrogen</c:v>
                  </c:pt>
                  <c:pt idx="107">
                    <c:v>Road - Neon bulk - Diesel</c:v>
                  </c:pt>
                  <c:pt idx="108">
                    <c:v>Road - Neon bulk - Battery</c:v>
                  </c:pt>
                  <c:pt idx="109">
                    <c:v>Road - Neon bulk - Hydrogen</c:v>
                  </c:pt>
                  <c:pt idx="110">
                    <c:v>Sea - Dry bulk - Heavy fuel oil</c:v>
                  </c:pt>
                  <c:pt idx="111">
                    <c:v>Sea - Dry bulk - Maritime gas oil</c:v>
                  </c:pt>
                  <c:pt idx="112">
                    <c:v>Sea - Dry bulk - Hydrogen</c:v>
                  </c:pt>
                  <c:pt idx="113">
                    <c:v>Sea - Dry bulk - Ammonia</c:v>
                  </c:pt>
                  <c:pt idx="114">
                    <c:v>Sea - Dry bulk - Methanol</c:v>
                  </c:pt>
                  <c:pt idx="115">
                    <c:v>Sea - Container - Heavy fuel oil</c:v>
                  </c:pt>
                  <c:pt idx="116">
                    <c:v>Sea - Container - Maritime gas oil</c:v>
                  </c:pt>
                  <c:pt idx="117">
                    <c:v>Sea - Container - Hydrogen</c:v>
                  </c:pt>
                  <c:pt idx="118">
                    <c:v>Sea - Container - Ammonia</c:v>
                  </c:pt>
                  <c:pt idx="119">
                    <c:v>Sea - Container - Methanol</c:v>
                  </c:pt>
                  <c:pt idx="120">
                    <c:v>Sea - Break bulk - Heavy fuel oil</c:v>
                  </c:pt>
                  <c:pt idx="121">
                    <c:v>Sea - Break bulk - Maritime gas oil</c:v>
                  </c:pt>
                  <c:pt idx="122">
                    <c:v>Sea - Break bulk - Hydrogen</c:v>
                  </c:pt>
                  <c:pt idx="123">
                    <c:v>Sea - Break bulk - Ammonia</c:v>
                  </c:pt>
                  <c:pt idx="124">
                    <c:v>Sea - Break bulk - Methanol</c:v>
                  </c:pt>
                  <c:pt idx="125">
                    <c:v>Sea - Neon bulk - Heavy fuel oil</c:v>
                  </c:pt>
                  <c:pt idx="126">
                    <c:v>Sea - Neon bulk - Maritime gas oil</c:v>
                  </c:pt>
                  <c:pt idx="127">
                    <c:v>Sea - Neon bulk - Hydrogen</c:v>
                  </c:pt>
                  <c:pt idx="128">
                    <c:v>Sea - Neon bulk - Ammoina</c:v>
                  </c:pt>
                  <c:pt idx="129">
                    <c:v>Sea - Neon bulk - Methanol</c:v>
                  </c:pt>
                  <c:pt idx="130">
                    <c:v>Rail - Dry bulk - Diesel</c:v>
                  </c:pt>
                  <c:pt idx="131">
                    <c:v>Rail - Dry bulk - Catenary</c:v>
                  </c:pt>
                  <c:pt idx="132">
                    <c:v>Rail - Dry bulk - Battery</c:v>
                  </c:pt>
                  <c:pt idx="133">
                    <c:v>Rail - Dry bulk - Hydrogen</c:v>
                  </c:pt>
                  <c:pt idx="134">
                    <c:v>Rail - Liquid bulk - Diesel</c:v>
                  </c:pt>
                  <c:pt idx="135">
                    <c:v>Rail - Liquid bulk - Catenary</c:v>
                  </c:pt>
                  <c:pt idx="136">
                    <c:v>Rail - Liquid bulk - Battery</c:v>
                  </c:pt>
                  <c:pt idx="137">
                    <c:v>Rail - Liquid bulk - Hydrogen</c:v>
                  </c:pt>
                  <c:pt idx="138">
                    <c:v>Rail - Container - Diesel</c:v>
                  </c:pt>
                  <c:pt idx="139">
                    <c:v>Rail - Container - Catenary</c:v>
                  </c:pt>
                  <c:pt idx="140">
                    <c:v>Rail - Container - Battery</c:v>
                  </c:pt>
                  <c:pt idx="141">
                    <c:v>Rail - Container - Hydrogen</c:v>
                  </c:pt>
                  <c:pt idx="142">
                    <c:v>Rail - Break bulk - Diesel</c:v>
                  </c:pt>
                  <c:pt idx="143">
                    <c:v>Rail - Break bulk - Catenary</c:v>
                  </c:pt>
                  <c:pt idx="144">
                    <c:v>Rail - Break bulk - Battery</c:v>
                  </c:pt>
                  <c:pt idx="145">
                    <c:v>Rail - Break bulk - Hydrogen</c:v>
                  </c:pt>
                  <c:pt idx="146">
                    <c:v>Rail - Neon bulk - Diesel</c:v>
                  </c:pt>
                  <c:pt idx="147">
                    <c:v>Rail - Neon bulk - Catenary</c:v>
                  </c:pt>
                  <c:pt idx="148">
                    <c:v>Rail - Neon bulk - Battery</c:v>
                  </c:pt>
                  <c:pt idx="149">
                    <c:v>Rail - Neon bulk - Hydrogen</c:v>
                  </c:pt>
                  <c:pt idx="150">
                    <c:v>Road - Dry bulk - Diesel</c:v>
                  </c:pt>
                  <c:pt idx="151">
                    <c:v>Road - Dry bulk - Battery</c:v>
                  </c:pt>
                  <c:pt idx="152">
                    <c:v>Road - Dry bulk - Hydrogen</c:v>
                  </c:pt>
                  <c:pt idx="153">
                    <c:v>Road - Liquid bulk - Diesel</c:v>
                  </c:pt>
                  <c:pt idx="154">
                    <c:v>Road - Liquid bulk - Battery</c:v>
                  </c:pt>
                  <c:pt idx="155">
                    <c:v>Road - Liquid bulk - Hydrogen</c:v>
                  </c:pt>
                  <c:pt idx="156">
                    <c:v>Road - Container - Diesel</c:v>
                  </c:pt>
                  <c:pt idx="157">
                    <c:v>Road - Container - Battery</c:v>
                  </c:pt>
                  <c:pt idx="158">
                    <c:v>Road - Container - Hydrogen</c:v>
                  </c:pt>
                  <c:pt idx="159">
                    <c:v>Road - Break bulk - Diesel</c:v>
                  </c:pt>
                  <c:pt idx="160">
                    <c:v>Road - Break bulk - Battery</c:v>
                  </c:pt>
                  <c:pt idx="161">
                    <c:v>Road - Break bulk - Hydrogen</c:v>
                  </c:pt>
                  <c:pt idx="162">
                    <c:v>Road - Neon bulk - Diesel</c:v>
                  </c:pt>
                  <c:pt idx="163">
                    <c:v>Road - Neon bulk - Battery</c:v>
                  </c:pt>
                  <c:pt idx="164">
                    <c:v>Road - Neon bulk - Hydrogen</c:v>
                  </c:pt>
                </c:lvl>
                <c:lvl>
                  <c:pt idx="0">
                    <c:v>2023</c:v>
                  </c:pt>
                  <c:pt idx="55">
                    <c:v>2034</c:v>
                  </c:pt>
                  <c:pt idx="110">
                    <c:v>2050</c:v>
                  </c:pt>
                </c:lvl>
              </c:multiLvlStrCache>
            </c:multiLvlStrRef>
          </c:cat>
          <c:val>
            <c:numRef>
              <c:f>FIGURES!$B$14:$FC$14</c:f>
              <c:numCache>
                <c:formatCode>0.00</c:formatCode>
                <c:ptCount val="158"/>
                <c:pt idx="0" formatCode="0.00000">
                  <c:v>0</c:v>
                </c:pt>
                <c:pt idx="1">
                  <c:v>0</c:v>
                </c:pt>
                <c:pt idx="2">
                  <c:v>0</c:v>
                </c:pt>
                <c:pt idx="3">
                  <c:v>0</c:v>
                </c:pt>
                <c:pt idx="4">
                  <c:v>0</c:v>
                </c:pt>
                <c:pt idx="5" formatCode="General">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0.00000">
                  <c:v>0</c:v>
                </c:pt>
                <c:pt idx="56">
                  <c:v>0</c:v>
                </c:pt>
                <c:pt idx="57">
                  <c:v>0</c:v>
                </c:pt>
                <c:pt idx="58">
                  <c:v>0</c:v>
                </c:pt>
                <c:pt idx="59">
                  <c:v>0</c:v>
                </c:pt>
                <c:pt idx="60" formatCode="General">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formatCode="0.00000">
                  <c:v>0</c:v>
                </c:pt>
                <c:pt idx="111">
                  <c:v>0</c:v>
                </c:pt>
                <c:pt idx="112">
                  <c:v>0</c:v>
                </c:pt>
                <c:pt idx="113">
                  <c:v>0</c:v>
                </c:pt>
                <c:pt idx="114">
                  <c:v>0</c:v>
                </c:pt>
                <c:pt idx="115" formatCode="General">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extLst>
            <c:ext xmlns:c16="http://schemas.microsoft.com/office/drawing/2014/chart" uri="{C3380CC4-5D6E-409C-BE32-E72D297353CC}">
              <c16:uniqueId val="{00000008-F9C0-40FC-B5F5-8B7C4578ACB4}"/>
            </c:ext>
          </c:extLst>
        </c:ser>
        <c:ser>
          <c:idx val="9"/>
          <c:order val="9"/>
          <c:tx>
            <c:strRef>
              <c:f>FIGURES!$A$15</c:f>
              <c:strCache>
                <c:ptCount val="1"/>
                <c:pt idx="0">
                  <c:v>Payload loss (fuel)</c:v>
                </c:pt>
              </c:strCache>
            </c:strRef>
          </c:tx>
          <c:spPr>
            <a:solidFill>
              <a:schemeClr val="accent4">
                <a:lumMod val="60000"/>
              </a:schemeClr>
            </a:solidFill>
            <a:ln>
              <a:noFill/>
            </a:ln>
            <a:effectLst/>
          </c:spPr>
          <c:invertIfNegative val="0"/>
          <c:cat>
            <c:multiLvlStrRef>
              <c:f>FIGURES!$B$4:$FJ$5</c:f>
              <c:multiLvlStrCache>
                <c:ptCount val="165"/>
                <c:lvl>
                  <c:pt idx="0">
                    <c:v>Sea - Dry bulk - Heavy fuel oil</c:v>
                  </c:pt>
                  <c:pt idx="1">
                    <c:v>Sea - Dry bulk - Maritime gas oil</c:v>
                  </c:pt>
                  <c:pt idx="2">
                    <c:v>Sea - Dry bulk - Hydrogen</c:v>
                  </c:pt>
                  <c:pt idx="3">
                    <c:v>Sea - Dry bulk - Ammonia</c:v>
                  </c:pt>
                  <c:pt idx="4">
                    <c:v>Sea - Dry bulk - Methanol</c:v>
                  </c:pt>
                  <c:pt idx="5">
                    <c:v>Sea - Container - Heavy fuel oil</c:v>
                  </c:pt>
                  <c:pt idx="6">
                    <c:v>Sea - Container - Maritime gas oil</c:v>
                  </c:pt>
                  <c:pt idx="7">
                    <c:v>Sea - Container - Hydrogen</c:v>
                  </c:pt>
                  <c:pt idx="8">
                    <c:v>Sea - Container - Ammonia</c:v>
                  </c:pt>
                  <c:pt idx="9">
                    <c:v>Sea - Container - Methanol</c:v>
                  </c:pt>
                  <c:pt idx="10">
                    <c:v>Sea - Break bulk - Heavy fuel oil</c:v>
                  </c:pt>
                  <c:pt idx="11">
                    <c:v>Sea - Break bulk - Maritime gas oil</c:v>
                  </c:pt>
                  <c:pt idx="12">
                    <c:v>Sea - Break bulk - Hydrogen</c:v>
                  </c:pt>
                  <c:pt idx="13">
                    <c:v>Sea - Break bulk - Ammonia</c:v>
                  </c:pt>
                  <c:pt idx="14">
                    <c:v>Sea - Break bulk - Methanol</c:v>
                  </c:pt>
                  <c:pt idx="15">
                    <c:v>Sea - Neon bulk - Heavy fuel oil</c:v>
                  </c:pt>
                  <c:pt idx="16">
                    <c:v>Sea - Neon bulk - Maritime gas oil</c:v>
                  </c:pt>
                  <c:pt idx="17">
                    <c:v>Sea - Neon bulk - Hydrogen</c:v>
                  </c:pt>
                  <c:pt idx="18">
                    <c:v>Sea - Neon bulk - Ammoina</c:v>
                  </c:pt>
                  <c:pt idx="19">
                    <c:v>Sea - Neon bulk - Methanol</c:v>
                  </c:pt>
                  <c:pt idx="20">
                    <c:v>Rail - Dry bulk - Diesel</c:v>
                  </c:pt>
                  <c:pt idx="21">
                    <c:v>Rail - Dry bulk - Catenary</c:v>
                  </c:pt>
                  <c:pt idx="22">
                    <c:v>Rail - Dry bulk - Battery</c:v>
                  </c:pt>
                  <c:pt idx="23">
                    <c:v>Rail - Dry bulk - Hydrogen</c:v>
                  </c:pt>
                  <c:pt idx="24">
                    <c:v>Rail - Liquid bulk - Diesel</c:v>
                  </c:pt>
                  <c:pt idx="25">
                    <c:v>Rail - Liquid bulk - Catenary</c:v>
                  </c:pt>
                  <c:pt idx="26">
                    <c:v>Rail - Liquid bulk - Battery</c:v>
                  </c:pt>
                  <c:pt idx="27">
                    <c:v>Rail - Liquid bulk - Hydrogen</c:v>
                  </c:pt>
                  <c:pt idx="28">
                    <c:v>Rail - Container - Diesel</c:v>
                  </c:pt>
                  <c:pt idx="29">
                    <c:v>Rail - Container - Catenary</c:v>
                  </c:pt>
                  <c:pt idx="30">
                    <c:v>Rail - Container - Battery</c:v>
                  </c:pt>
                  <c:pt idx="31">
                    <c:v>Rail - Container - Hydrogen</c:v>
                  </c:pt>
                  <c:pt idx="32">
                    <c:v>Rail - Break bulk - Diesel</c:v>
                  </c:pt>
                  <c:pt idx="33">
                    <c:v>Rail - Break bulk - Catenary</c:v>
                  </c:pt>
                  <c:pt idx="34">
                    <c:v>Rail - Break bulk - Battery</c:v>
                  </c:pt>
                  <c:pt idx="35">
                    <c:v>Rail - Break bulk - Hydrogen</c:v>
                  </c:pt>
                  <c:pt idx="36">
                    <c:v>Rail - Neon bulk - Diesel</c:v>
                  </c:pt>
                  <c:pt idx="37">
                    <c:v>Rail - Neon bulk - Catenary</c:v>
                  </c:pt>
                  <c:pt idx="38">
                    <c:v>Rail - Neon bulk - Battery</c:v>
                  </c:pt>
                  <c:pt idx="39">
                    <c:v>Rail - Neon bulk - Hydrogen</c:v>
                  </c:pt>
                  <c:pt idx="40">
                    <c:v>Road - Dry bulk - Diesel</c:v>
                  </c:pt>
                  <c:pt idx="41">
                    <c:v>Road - Dry bulk - Battery</c:v>
                  </c:pt>
                  <c:pt idx="42">
                    <c:v>Road - Dry bulk - Hydrogen</c:v>
                  </c:pt>
                  <c:pt idx="43">
                    <c:v>Road - Liquid bulk - Diesel</c:v>
                  </c:pt>
                  <c:pt idx="44">
                    <c:v>Road - Liquid bulk - Battery</c:v>
                  </c:pt>
                  <c:pt idx="45">
                    <c:v>Road - Liquid bulk - Hydrogen</c:v>
                  </c:pt>
                  <c:pt idx="46">
                    <c:v>Road - Container - Diesel</c:v>
                  </c:pt>
                  <c:pt idx="47">
                    <c:v>Road - Container - Battery</c:v>
                  </c:pt>
                  <c:pt idx="48">
                    <c:v>Road - Container - Hydrogen</c:v>
                  </c:pt>
                  <c:pt idx="49">
                    <c:v>Road - Break bulk - Diesel</c:v>
                  </c:pt>
                  <c:pt idx="50">
                    <c:v>Road - Break bulk - Battery</c:v>
                  </c:pt>
                  <c:pt idx="51">
                    <c:v>Road - Break bulk - Hydrogen</c:v>
                  </c:pt>
                  <c:pt idx="52">
                    <c:v>Road - Neon bulk - Diesel</c:v>
                  </c:pt>
                  <c:pt idx="53">
                    <c:v>Road - Neon bulk - Battery</c:v>
                  </c:pt>
                  <c:pt idx="54">
                    <c:v>Road - Neon bulk - Hydrogen</c:v>
                  </c:pt>
                  <c:pt idx="55">
                    <c:v>Sea - Dry bulk - Heavy fuel oil</c:v>
                  </c:pt>
                  <c:pt idx="56">
                    <c:v>Sea - Dry bulk - Maritime gas oil</c:v>
                  </c:pt>
                  <c:pt idx="57">
                    <c:v>Sea - Dry bulk - Hydrogen</c:v>
                  </c:pt>
                  <c:pt idx="58">
                    <c:v>Sea - Dry bulk - Ammonia</c:v>
                  </c:pt>
                  <c:pt idx="59">
                    <c:v>Sea - Dry bulk - Methanol</c:v>
                  </c:pt>
                  <c:pt idx="60">
                    <c:v>Sea - Container - Heavy fuel oil</c:v>
                  </c:pt>
                  <c:pt idx="61">
                    <c:v>Sea - Container - Maritime gas oil</c:v>
                  </c:pt>
                  <c:pt idx="62">
                    <c:v>Sea - Container - Hydrogen</c:v>
                  </c:pt>
                  <c:pt idx="63">
                    <c:v>Sea - Container - Ammonia</c:v>
                  </c:pt>
                  <c:pt idx="64">
                    <c:v>Sea - Container - Methanol</c:v>
                  </c:pt>
                  <c:pt idx="65">
                    <c:v>Sea - Break bulk - Heavy fuel oil</c:v>
                  </c:pt>
                  <c:pt idx="66">
                    <c:v>Sea - Break bulk - Maritime gas oil</c:v>
                  </c:pt>
                  <c:pt idx="67">
                    <c:v>Sea - Break bulk - Hydrogen</c:v>
                  </c:pt>
                  <c:pt idx="68">
                    <c:v>Sea - Break bulk - Ammonia</c:v>
                  </c:pt>
                  <c:pt idx="69">
                    <c:v>Sea - Break bulk - Methanol</c:v>
                  </c:pt>
                  <c:pt idx="70">
                    <c:v>Sea - Neon bulk - Heavy fuel oil</c:v>
                  </c:pt>
                  <c:pt idx="71">
                    <c:v>Sea - Neon bulk - Maritime gas oil</c:v>
                  </c:pt>
                  <c:pt idx="72">
                    <c:v>Sea - Neon bulk - Hydrogen</c:v>
                  </c:pt>
                  <c:pt idx="73">
                    <c:v>Sea - Neon bulk - Ammoina</c:v>
                  </c:pt>
                  <c:pt idx="74">
                    <c:v>Sea - Neon bulk - Methanol</c:v>
                  </c:pt>
                  <c:pt idx="75">
                    <c:v>Rail - Dry bulk - Diesel</c:v>
                  </c:pt>
                  <c:pt idx="76">
                    <c:v>Rail - Dry bulk - Catenary</c:v>
                  </c:pt>
                  <c:pt idx="77">
                    <c:v>Rail - Dry bulk - Battery</c:v>
                  </c:pt>
                  <c:pt idx="78">
                    <c:v>Rail - Dry bulk - Hydrogen</c:v>
                  </c:pt>
                  <c:pt idx="79">
                    <c:v>Rail - Liquid bulk - Diesel</c:v>
                  </c:pt>
                  <c:pt idx="80">
                    <c:v>Rail - Liquid bulk - Catenary</c:v>
                  </c:pt>
                  <c:pt idx="81">
                    <c:v>Rail - Liquid bulk - Battery</c:v>
                  </c:pt>
                  <c:pt idx="82">
                    <c:v>Rail - Liquid bulk - Hydrogen</c:v>
                  </c:pt>
                  <c:pt idx="83">
                    <c:v>Rail - Container - Diesel</c:v>
                  </c:pt>
                  <c:pt idx="84">
                    <c:v>Rail - Container - Catenary</c:v>
                  </c:pt>
                  <c:pt idx="85">
                    <c:v>Rail - Container - Battery</c:v>
                  </c:pt>
                  <c:pt idx="86">
                    <c:v>Rail - Container - Hydrogen</c:v>
                  </c:pt>
                  <c:pt idx="87">
                    <c:v>Rail - Break bulk - Diesel</c:v>
                  </c:pt>
                  <c:pt idx="88">
                    <c:v>Rail - Break bulk - Catenary</c:v>
                  </c:pt>
                  <c:pt idx="89">
                    <c:v>Rail - Break bulk - Battery</c:v>
                  </c:pt>
                  <c:pt idx="90">
                    <c:v>Rail - Break bulk - Hydrogen</c:v>
                  </c:pt>
                  <c:pt idx="91">
                    <c:v>Rail - Neon bulk - Diesel</c:v>
                  </c:pt>
                  <c:pt idx="92">
                    <c:v>Rail - Neon bulk - Catenary</c:v>
                  </c:pt>
                  <c:pt idx="93">
                    <c:v>Rail - Neon bulk - Battery</c:v>
                  </c:pt>
                  <c:pt idx="94">
                    <c:v>Rail - Neon bulk - Hydrogen</c:v>
                  </c:pt>
                  <c:pt idx="95">
                    <c:v>Road - Dry bulk - Diesel</c:v>
                  </c:pt>
                  <c:pt idx="96">
                    <c:v>Road - Dry bulk - Battery</c:v>
                  </c:pt>
                  <c:pt idx="97">
                    <c:v>Road - Dry bulk - Hydrogen</c:v>
                  </c:pt>
                  <c:pt idx="98">
                    <c:v>Road - Liquid bulk - Diesel</c:v>
                  </c:pt>
                  <c:pt idx="99">
                    <c:v>Road - Liquid bulk - Battery</c:v>
                  </c:pt>
                  <c:pt idx="100">
                    <c:v>Road - Liquid bulk - Hydrogen</c:v>
                  </c:pt>
                  <c:pt idx="101">
                    <c:v>Road - Container - Diesel</c:v>
                  </c:pt>
                  <c:pt idx="102">
                    <c:v>Road - Container - Battery</c:v>
                  </c:pt>
                  <c:pt idx="103">
                    <c:v>Road - Container - Hydrogen</c:v>
                  </c:pt>
                  <c:pt idx="104">
                    <c:v>Road - Break bulk - Diesel</c:v>
                  </c:pt>
                  <c:pt idx="105">
                    <c:v>Road - Break bulk - Battery</c:v>
                  </c:pt>
                  <c:pt idx="106">
                    <c:v>Road - Break bulk - Hydrogen</c:v>
                  </c:pt>
                  <c:pt idx="107">
                    <c:v>Road - Neon bulk - Diesel</c:v>
                  </c:pt>
                  <c:pt idx="108">
                    <c:v>Road - Neon bulk - Battery</c:v>
                  </c:pt>
                  <c:pt idx="109">
                    <c:v>Road - Neon bulk - Hydrogen</c:v>
                  </c:pt>
                  <c:pt idx="110">
                    <c:v>Sea - Dry bulk - Heavy fuel oil</c:v>
                  </c:pt>
                  <c:pt idx="111">
                    <c:v>Sea - Dry bulk - Maritime gas oil</c:v>
                  </c:pt>
                  <c:pt idx="112">
                    <c:v>Sea - Dry bulk - Hydrogen</c:v>
                  </c:pt>
                  <c:pt idx="113">
                    <c:v>Sea - Dry bulk - Ammonia</c:v>
                  </c:pt>
                  <c:pt idx="114">
                    <c:v>Sea - Dry bulk - Methanol</c:v>
                  </c:pt>
                  <c:pt idx="115">
                    <c:v>Sea - Container - Heavy fuel oil</c:v>
                  </c:pt>
                  <c:pt idx="116">
                    <c:v>Sea - Container - Maritime gas oil</c:v>
                  </c:pt>
                  <c:pt idx="117">
                    <c:v>Sea - Container - Hydrogen</c:v>
                  </c:pt>
                  <c:pt idx="118">
                    <c:v>Sea - Container - Ammonia</c:v>
                  </c:pt>
                  <c:pt idx="119">
                    <c:v>Sea - Container - Methanol</c:v>
                  </c:pt>
                  <c:pt idx="120">
                    <c:v>Sea - Break bulk - Heavy fuel oil</c:v>
                  </c:pt>
                  <c:pt idx="121">
                    <c:v>Sea - Break bulk - Maritime gas oil</c:v>
                  </c:pt>
                  <c:pt idx="122">
                    <c:v>Sea - Break bulk - Hydrogen</c:v>
                  </c:pt>
                  <c:pt idx="123">
                    <c:v>Sea - Break bulk - Ammonia</c:v>
                  </c:pt>
                  <c:pt idx="124">
                    <c:v>Sea - Break bulk - Methanol</c:v>
                  </c:pt>
                  <c:pt idx="125">
                    <c:v>Sea - Neon bulk - Heavy fuel oil</c:v>
                  </c:pt>
                  <c:pt idx="126">
                    <c:v>Sea - Neon bulk - Maritime gas oil</c:v>
                  </c:pt>
                  <c:pt idx="127">
                    <c:v>Sea - Neon bulk - Hydrogen</c:v>
                  </c:pt>
                  <c:pt idx="128">
                    <c:v>Sea - Neon bulk - Ammoina</c:v>
                  </c:pt>
                  <c:pt idx="129">
                    <c:v>Sea - Neon bulk - Methanol</c:v>
                  </c:pt>
                  <c:pt idx="130">
                    <c:v>Rail - Dry bulk - Diesel</c:v>
                  </c:pt>
                  <c:pt idx="131">
                    <c:v>Rail - Dry bulk - Catenary</c:v>
                  </c:pt>
                  <c:pt idx="132">
                    <c:v>Rail - Dry bulk - Battery</c:v>
                  </c:pt>
                  <c:pt idx="133">
                    <c:v>Rail - Dry bulk - Hydrogen</c:v>
                  </c:pt>
                  <c:pt idx="134">
                    <c:v>Rail - Liquid bulk - Diesel</c:v>
                  </c:pt>
                  <c:pt idx="135">
                    <c:v>Rail - Liquid bulk - Catenary</c:v>
                  </c:pt>
                  <c:pt idx="136">
                    <c:v>Rail - Liquid bulk - Battery</c:v>
                  </c:pt>
                  <c:pt idx="137">
                    <c:v>Rail - Liquid bulk - Hydrogen</c:v>
                  </c:pt>
                  <c:pt idx="138">
                    <c:v>Rail - Container - Diesel</c:v>
                  </c:pt>
                  <c:pt idx="139">
                    <c:v>Rail - Container - Catenary</c:v>
                  </c:pt>
                  <c:pt idx="140">
                    <c:v>Rail - Container - Battery</c:v>
                  </c:pt>
                  <c:pt idx="141">
                    <c:v>Rail - Container - Hydrogen</c:v>
                  </c:pt>
                  <c:pt idx="142">
                    <c:v>Rail - Break bulk - Diesel</c:v>
                  </c:pt>
                  <c:pt idx="143">
                    <c:v>Rail - Break bulk - Catenary</c:v>
                  </c:pt>
                  <c:pt idx="144">
                    <c:v>Rail - Break bulk - Battery</c:v>
                  </c:pt>
                  <c:pt idx="145">
                    <c:v>Rail - Break bulk - Hydrogen</c:v>
                  </c:pt>
                  <c:pt idx="146">
                    <c:v>Rail - Neon bulk - Diesel</c:v>
                  </c:pt>
                  <c:pt idx="147">
                    <c:v>Rail - Neon bulk - Catenary</c:v>
                  </c:pt>
                  <c:pt idx="148">
                    <c:v>Rail - Neon bulk - Battery</c:v>
                  </c:pt>
                  <c:pt idx="149">
                    <c:v>Rail - Neon bulk - Hydrogen</c:v>
                  </c:pt>
                  <c:pt idx="150">
                    <c:v>Road - Dry bulk - Diesel</c:v>
                  </c:pt>
                  <c:pt idx="151">
                    <c:v>Road - Dry bulk - Battery</c:v>
                  </c:pt>
                  <c:pt idx="152">
                    <c:v>Road - Dry bulk - Hydrogen</c:v>
                  </c:pt>
                  <c:pt idx="153">
                    <c:v>Road - Liquid bulk - Diesel</c:v>
                  </c:pt>
                  <c:pt idx="154">
                    <c:v>Road - Liquid bulk - Battery</c:v>
                  </c:pt>
                  <c:pt idx="155">
                    <c:v>Road - Liquid bulk - Hydrogen</c:v>
                  </c:pt>
                  <c:pt idx="156">
                    <c:v>Road - Container - Diesel</c:v>
                  </c:pt>
                  <c:pt idx="157">
                    <c:v>Road - Container - Battery</c:v>
                  </c:pt>
                  <c:pt idx="158">
                    <c:v>Road - Container - Hydrogen</c:v>
                  </c:pt>
                  <c:pt idx="159">
                    <c:v>Road - Break bulk - Diesel</c:v>
                  </c:pt>
                  <c:pt idx="160">
                    <c:v>Road - Break bulk - Battery</c:v>
                  </c:pt>
                  <c:pt idx="161">
                    <c:v>Road - Break bulk - Hydrogen</c:v>
                  </c:pt>
                  <c:pt idx="162">
                    <c:v>Road - Neon bulk - Diesel</c:v>
                  </c:pt>
                  <c:pt idx="163">
                    <c:v>Road - Neon bulk - Battery</c:v>
                  </c:pt>
                  <c:pt idx="164">
                    <c:v>Road - Neon bulk - Hydrogen</c:v>
                  </c:pt>
                </c:lvl>
                <c:lvl>
                  <c:pt idx="0">
                    <c:v>2023</c:v>
                  </c:pt>
                  <c:pt idx="55">
                    <c:v>2034</c:v>
                  </c:pt>
                  <c:pt idx="110">
                    <c:v>2050</c:v>
                  </c:pt>
                </c:lvl>
              </c:multiLvlStrCache>
            </c:multiLvlStrRef>
          </c:cat>
          <c:val>
            <c:numRef>
              <c:f>FIGURES!$B$15:$FC$15</c:f>
              <c:numCache>
                <c:formatCode>0.00</c:formatCode>
                <c:ptCount val="158"/>
                <c:pt idx="0" formatCode="0.00000">
                  <c:v>0</c:v>
                </c:pt>
                <c:pt idx="1">
                  <c:v>0</c:v>
                </c:pt>
                <c:pt idx="2">
                  <c:v>0</c:v>
                </c:pt>
                <c:pt idx="3">
                  <c:v>0</c:v>
                </c:pt>
                <c:pt idx="4">
                  <c:v>0</c:v>
                </c:pt>
                <c:pt idx="5" formatCode="General">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0.00000">
                  <c:v>0</c:v>
                </c:pt>
                <c:pt idx="56">
                  <c:v>0</c:v>
                </c:pt>
                <c:pt idx="57">
                  <c:v>0</c:v>
                </c:pt>
                <c:pt idx="58">
                  <c:v>0</c:v>
                </c:pt>
                <c:pt idx="59">
                  <c:v>0</c:v>
                </c:pt>
                <c:pt idx="60" formatCode="General">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formatCode="0.00000">
                  <c:v>0</c:v>
                </c:pt>
                <c:pt idx="111">
                  <c:v>0</c:v>
                </c:pt>
                <c:pt idx="112">
                  <c:v>0</c:v>
                </c:pt>
                <c:pt idx="113">
                  <c:v>0</c:v>
                </c:pt>
                <c:pt idx="114">
                  <c:v>0</c:v>
                </c:pt>
                <c:pt idx="115" formatCode="General">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extLst>
            <c:ext xmlns:c16="http://schemas.microsoft.com/office/drawing/2014/chart" uri="{C3380CC4-5D6E-409C-BE32-E72D297353CC}">
              <c16:uniqueId val="{00000009-F9C0-40FC-B5F5-8B7C4578ACB4}"/>
            </c:ext>
          </c:extLst>
        </c:ser>
        <c:ser>
          <c:idx val="10"/>
          <c:order val="10"/>
          <c:tx>
            <c:strRef>
              <c:f>FIGURES!$A$16</c:f>
              <c:strCache>
                <c:ptCount val="1"/>
                <c:pt idx="0">
                  <c:v>Emission Cost</c:v>
                </c:pt>
              </c:strCache>
            </c:strRef>
          </c:tx>
          <c:spPr>
            <a:solidFill>
              <a:schemeClr val="accent5">
                <a:lumMod val="60000"/>
              </a:schemeClr>
            </a:solidFill>
            <a:ln>
              <a:noFill/>
            </a:ln>
            <a:effectLst/>
          </c:spPr>
          <c:invertIfNegative val="0"/>
          <c:cat>
            <c:multiLvlStrRef>
              <c:f>FIGURES!$B$4:$FJ$5</c:f>
              <c:multiLvlStrCache>
                <c:ptCount val="165"/>
                <c:lvl>
                  <c:pt idx="0">
                    <c:v>Sea - Dry bulk - Heavy fuel oil</c:v>
                  </c:pt>
                  <c:pt idx="1">
                    <c:v>Sea - Dry bulk - Maritime gas oil</c:v>
                  </c:pt>
                  <c:pt idx="2">
                    <c:v>Sea - Dry bulk - Hydrogen</c:v>
                  </c:pt>
                  <c:pt idx="3">
                    <c:v>Sea - Dry bulk - Ammonia</c:v>
                  </c:pt>
                  <c:pt idx="4">
                    <c:v>Sea - Dry bulk - Methanol</c:v>
                  </c:pt>
                  <c:pt idx="5">
                    <c:v>Sea - Container - Heavy fuel oil</c:v>
                  </c:pt>
                  <c:pt idx="6">
                    <c:v>Sea - Container - Maritime gas oil</c:v>
                  </c:pt>
                  <c:pt idx="7">
                    <c:v>Sea - Container - Hydrogen</c:v>
                  </c:pt>
                  <c:pt idx="8">
                    <c:v>Sea - Container - Ammonia</c:v>
                  </c:pt>
                  <c:pt idx="9">
                    <c:v>Sea - Container - Methanol</c:v>
                  </c:pt>
                  <c:pt idx="10">
                    <c:v>Sea - Break bulk - Heavy fuel oil</c:v>
                  </c:pt>
                  <c:pt idx="11">
                    <c:v>Sea - Break bulk - Maritime gas oil</c:v>
                  </c:pt>
                  <c:pt idx="12">
                    <c:v>Sea - Break bulk - Hydrogen</c:v>
                  </c:pt>
                  <c:pt idx="13">
                    <c:v>Sea - Break bulk - Ammonia</c:v>
                  </c:pt>
                  <c:pt idx="14">
                    <c:v>Sea - Break bulk - Methanol</c:v>
                  </c:pt>
                  <c:pt idx="15">
                    <c:v>Sea - Neon bulk - Heavy fuel oil</c:v>
                  </c:pt>
                  <c:pt idx="16">
                    <c:v>Sea - Neon bulk - Maritime gas oil</c:v>
                  </c:pt>
                  <c:pt idx="17">
                    <c:v>Sea - Neon bulk - Hydrogen</c:v>
                  </c:pt>
                  <c:pt idx="18">
                    <c:v>Sea - Neon bulk - Ammoina</c:v>
                  </c:pt>
                  <c:pt idx="19">
                    <c:v>Sea - Neon bulk - Methanol</c:v>
                  </c:pt>
                  <c:pt idx="20">
                    <c:v>Rail - Dry bulk - Diesel</c:v>
                  </c:pt>
                  <c:pt idx="21">
                    <c:v>Rail - Dry bulk - Catenary</c:v>
                  </c:pt>
                  <c:pt idx="22">
                    <c:v>Rail - Dry bulk - Battery</c:v>
                  </c:pt>
                  <c:pt idx="23">
                    <c:v>Rail - Dry bulk - Hydrogen</c:v>
                  </c:pt>
                  <c:pt idx="24">
                    <c:v>Rail - Liquid bulk - Diesel</c:v>
                  </c:pt>
                  <c:pt idx="25">
                    <c:v>Rail - Liquid bulk - Catenary</c:v>
                  </c:pt>
                  <c:pt idx="26">
                    <c:v>Rail - Liquid bulk - Battery</c:v>
                  </c:pt>
                  <c:pt idx="27">
                    <c:v>Rail - Liquid bulk - Hydrogen</c:v>
                  </c:pt>
                  <c:pt idx="28">
                    <c:v>Rail - Container - Diesel</c:v>
                  </c:pt>
                  <c:pt idx="29">
                    <c:v>Rail - Container - Catenary</c:v>
                  </c:pt>
                  <c:pt idx="30">
                    <c:v>Rail - Container - Battery</c:v>
                  </c:pt>
                  <c:pt idx="31">
                    <c:v>Rail - Container - Hydrogen</c:v>
                  </c:pt>
                  <c:pt idx="32">
                    <c:v>Rail - Break bulk - Diesel</c:v>
                  </c:pt>
                  <c:pt idx="33">
                    <c:v>Rail - Break bulk - Catenary</c:v>
                  </c:pt>
                  <c:pt idx="34">
                    <c:v>Rail - Break bulk - Battery</c:v>
                  </c:pt>
                  <c:pt idx="35">
                    <c:v>Rail - Break bulk - Hydrogen</c:v>
                  </c:pt>
                  <c:pt idx="36">
                    <c:v>Rail - Neon bulk - Diesel</c:v>
                  </c:pt>
                  <c:pt idx="37">
                    <c:v>Rail - Neon bulk - Catenary</c:v>
                  </c:pt>
                  <c:pt idx="38">
                    <c:v>Rail - Neon bulk - Battery</c:v>
                  </c:pt>
                  <c:pt idx="39">
                    <c:v>Rail - Neon bulk - Hydrogen</c:v>
                  </c:pt>
                  <c:pt idx="40">
                    <c:v>Road - Dry bulk - Diesel</c:v>
                  </c:pt>
                  <c:pt idx="41">
                    <c:v>Road - Dry bulk - Battery</c:v>
                  </c:pt>
                  <c:pt idx="42">
                    <c:v>Road - Dry bulk - Hydrogen</c:v>
                  </c:pt>
                  <c:pt idx="43">
                    <c:v>Road - Liquid bulk - Diesel</c:v>
                  </c:pt>
                  <c:pt idx="44">
                    <c:v>Road - Liquid bulk - Battery</c:v>
                  </c:pt>
                  <c:pt idx="45">
                    <c:v>Road - Liquid bulk - Hydrogen</c:v>
                  </c:pt>
                  <c:pt idx="46">
                    <c:v>Road - Container - Diesel</c:v>
                  </c:pt>
                  <c:pt idx="47">
                    <c:v>Road - Container - Battery</c:v>
                  </c:pt>
                  <c:pt idx="48">
                    <c:v>Road - Container - Hydrogen</c:v>
                  </c:pt>
                  <c:pt idx="49">
                    <c:v>Road - Break bulk - Diesel</c:v>
                  </c:pt>
                  <c:pt idx="50">
                    <c:v>Road - Break bulk - Battery</c:v>
                  </c:pt>
                  <c:pt idx="51">
                    <c:v>Road - Break bulk - Hydrogen</c:v>
                  </c:pt>
                  <c:pt idx="52">
                    <c:v>Road - Neon bulk - Diesel</c:v>
                  </c:pt>
                  <c:pt idx="53">
                    <c:v>Road - Neon bulk - Battery</c:v>
                  </c:pt>
                  <c:pt idx="54">
                    <c:v>Road - Neon bulk - Hydrogen</c:v>
                  </c:pt>
                  <c:pt idx="55">
                    <c:v>Sea - Dry bulk - Heavy fuel oil</c:v>
                  </c:pt>
                  <c:pt idx="56">
                    <c:v>Sea - Dry bulk - Maritime gas oil</c:v>
                  </c:pt>
                  <c:pt idx="57">
                    <c:v>Sea - Dry bulk - Hydrogen</c:v>
                  </c:pt>
                  <c:pt idx="58">
                    <c:v>Sea - Dry bulk - Ammonia</c:v>
                  </c:pt>
                  <c:pt idx="59">
                    <c:v>Sea - Dry bulk - Methanol</c:v>
                  </c:pt>
                  <c:pt idx="60">
                    <c:v>Sea - Container - Heavy fuel oil</c:v>
                  </c:pt>
                  <c:pt idx="61">
                    <c:v>Sea - Container - Maritime gas oil</c:v>
                  </c:pt>
                  <c:pt idx="62">
                    <c:v>Sea - Container - Hydrogen</c:v>
                  </c:pt>
                  <c:pt idx="63">
                    <c:v>Sea - Container - Ammonia</c:v>
                  </c:pt>
                  <c:pt idx="64">
                    <c:v>Sea - Container - Methanol</c:v>
                  </c:pt>
                  <c:pt idx="65">
                    <c:v>Sea - Break bulk - Heavy fuel oil</c:v>
                  </c:pt>
                  <c:pt idx="66">
                    <c:v>Sea - Break bulk - Maritime gas oil</c:v>
                  </c:pt>
                  <c:pt idx="67">
                    <c:v>Sea - Break bulk - Hydrogen</c:v>
                  </c:pt>
                  <c:pt idx="68">
                    <c:v>Sea - Break bulk - Ammonia</c:v>
                  </c:pt>
                  <c:pt idx="69">
                    <c:v>Sea - Break bulk - Methanol</c:v>
                  </c:pt>
                  <c:pt idx="70">
                    <c:v>Sea - Neon bulk - Heavy fuel oil</c:v>
                  </c:pt>
                  <c:pt idx="71">
                    <c:v>Sea - Neon bulk - Maritime gas oil</c:v>
                  </c:pt>
                  <c:pt idx="72">
                    <c:v>Sea - Neon bulk - Hydrogen</c:v>
                  </c:pt>
                  <c:pt idx="73">
                    <c:v>Sea - Neon bulk - Ammoina</c:v>
                  </c:pt>
                  <c:pt idx="74">
                    <c:v>Sea - Neon bulk - Methanol</c:v>
                  </c:pt>
                  <c:pt idx="75">
                    <c:v>Rail - Dry bulk - Diesel</c:v>
                  </c:pt>
                  <c:pt idx="76">
                    <c:v>Rail - Dry bulk - Catenary</c:v>
                  </c:pt>
                  <c:pt idx="77">
                    <c:v>Rail - Dry bulk - Battery</c:v>
                  </c:pt>
                  <c:pt idx="78">
                    <c:v>Rail - Dry bulk - Hydrogen</c:v>
                  </c:pt>
                  <c:pt idx="79">
                    <c:v>Rail - Liquid bulk - Diesel</c:v>
                  </c:pt>
                  <c:pt idx="80">
                    <c:v>Rail - Liquid bulk - Catenary</c:v>
                  </c:pt>
                  <c:pt idx="81">
                    <c:v>Rail - Liquid bulk - Battery</c:v>
                  </c:pt>
                  <c:pt idx="82">
                    <c:v>Rail - Liquid bulk - Hydrogen</c:v>
                  </c:pt>
                  <c:pt idx="83">
                    <c:v>Rail - Container - Diesel</c:v>
                  </c:pt>
                  <c:pt idx="84">
                    <c:v>Rail - Container - Catenary</c:v>
                  </c:pt>
                  <c:pt idx="85">
                    <c:v>Rail - Container - Battery</c:v>
                  </c:pt>
                  <c:pt idx="86">
                    <c:v>Rail - Container - Hydrogen</c:v>
                  </c:pt>
                  <c:pt idx="87">
                    <c:v>Rail - Break bulk - Diesel</c:v>
                  </c:pt>
                  <c:pt idx="88">
                    <c:v>Rail - Break bulk - Catenary</c:v>
                  </c:pt>
                  <c:pt idx="89">
                    <c:v>Rail - Break bulk - Battery</c:v>
                  </c:pt>
                  <c:pt idx="90">
                    <c:v>Rail - Break bulk - Hydrogen</c:v>
                  </c:pt>
                  <c:pt idx="91">
                    <c:v>Rail - Neon bulk - Diesel</c:v>
                  </c:pt>
                  <c:pt idx="92">
                    <c:v>Rail - Neon bulk - Catenary</c:v>
                  </c:pt>
                  <c:pt idx="93">
                    <c:v>Rail - Neon bulk - Battery</c:v>
                  </c:pt>
                  <c:pt idx="94">
                    <c:v>Rail - Neon bulk - Hydrogen</c:v>
                  </c:pt>
                  <c:pt idx="95">
                    <c:v>Road - Dry bulk - Diesel</c:v>
                  </c:pt>
                  <c:pt idx="96">
                    <c:v>Road - Dry bulk - Battery</c:v>
                  </c:pt>
                  <c:pt idx="97">
                    <c:v>Road - Dry bulk - Hydrogen</c:v>
                  </c:pt>
                  <c:pt idx="98">
                    <c:v>Road - Liquid bulk - Diesel</c:v>
                  </c:pt>
                  <c:pt idx="99">
                    <c:v>Road - Liquid bulk - Battery</c:v>
                  </c:pt>
                  <c:pt idx="100">
                    <c:v>Road - Liquid bulk - Hydrogen</c:v>
                  </c:pt>
                  <c:pt idx="101">
                    <c:v>Road - Container - Diesel</c:v>
                  </c:pt>
                  <c:pt idx="102">
                    <c:v>Road - Container - Battery</c:v>
                  </c:pt>
                  <c:pt idx="103">
                    <c:v>Road - Container - Hydrogen</c:v>
                  </c:pt>
                  <c:pt idx="104">
                    <c:v>Road - Break bulk - Diesel</c:v>
                  </c:pt>
                  <c:pt idx="105">
                    <c:v>Road - Break bulk - Battery</c:v>
                  </c:pt>
                  <c:pt idx="106">
                    <c:v>Road - Break bulk - Hydrogen</c:v>
                  </c:pt>
                  <c:pt idx="107">
                    <c:v>Road - Neon bulk - Diesel</c:v>
                  </c:pt>
                  <c:pt idx="108">
                    <c:v>Road - Neon bulk - Battery</c:v>
                  </c:pt>
                  <c:pt idx="109">
                    <c:v>Road - Neon bulk - Hydrogen</c:v>
                  </c:pt>
                  <c:pt idx="110">
                    <c:v>Sea - Dry bulk - Heavy fuel oil</c:v>
                  </c:pt>
                  <c:pt idx="111">
                    <c:v>Sea - Dry bulk - Maritime gas oil</c:v>
                  </c:pt>
                  <c:pt idx="112">
                    <c:v>Sea - Dry bulk - Hydrogen</c:v>
                  </c:pt>
                  <c:pt idx="113">
                    <c:v>Sea - Dry bulk - Ammonia</c:v>
                  </c:pt>
                  <c:pt idx="114">
                    <c:v>Sea - Dry bulk - Methanol</c:v>
                  </c:pt>
                  <c:pt idx="115">
                    <c:v>Sea - Container - Heavy fuel oil</c:v>
                  </c:pt>
                  <c:pt idx="116">
                    <c:v>Sea - Container - Maritime gas oil</c:v>
                  </c:pt>
                  <c:pt idx="117">
                    <c:v>Sea - Container - Hydrogen</c:v>
                  </c:pt>
                  <c:pt idx="118">
                    <c:v>Sea - Container - Ammonia</c:v>
                  </c:pt>
                  <c:pt idx="119">
                    <c:v>Sea - Container - Methanol</c:v>
                  </c:pt>
                  <c:pt idx="120">
                    <c:v>Sea - Break bulk - Heavy fuel oil</c:v>
                  </c:pt>
                  <c:pt idx="121">
                    <c:v>Sea - Break bulk - Maritime gas oil</c:v>
                  </c:pt>
                  <c:pt idx="122">
                    <c:v>Sea - Break bulk - Hydrogen</c:v>
                  </c:pt>
                  <c:pt idx="123">
                    <c:v>Sea - Break bulk - Ammonia</c:v>
                  </c:pt>
                  <c:pt idx="124">
                    <c:v>Sea - Break bulk - Methanol</c:v>
                  </c:pt>
                  <c:pt idx="125">
                    <c:v>Sea - Neon bulk - Heavy fuel oil</c:v>
                  </c:pt>
                  <c:pt idx="126">
                    <c:v>Sea - Neon bulk - Maritime gas oil</c:v>
                  </c:pt>
                  <c:pt idx="127">
                    <c:v>Sea - Neon bulk - Hydrogen</c:v>
                  </c:pt>
                  <c:pt idx="128">
                    <c:v>Sea - Neon bulk - Ammoina</c:v>
                  </c:pt>
                  <c:pt idx="129">
                    <c:v>Sea - Neon bulk - Methanol</c:v>
                  </c:pt>
                  <c:pt idx="130">
                    <c:v>Rail - Dry bulk - Diesel</c:v>
                  </c:pt>
                  <c:pt idx="131">
                    <c:v>Rail - Dry bulk - Catenary</c:v>
                  </c:pt>
                  <c:pt idx="132">
                    <c:v>Rail - Dry bulk - Battery</c:v>
                  </c:pt>
                  <c:pt idx="133">
                    <c:v>Rail - Dry bulk - Hydrogen</c:v>
                  </c:pt>
                  <c:pt idx="134">
                    <c:v>Rail - Liquid bulk - Diesel</c:v>
                  </c:pt>
                  <c:pt idx="135">
                    <c:v>Rail - Liquid bulk - Catenary</c:v>
                  </c:pt>
                  <c:pt idx="136">
                    <c:v>Rail - Liquid bulk - Battery</c:v>
                  </c:pt>
                  <c:pt idx="137">
                    <c:v>Rail - Liquid bulk - Hydrogen</c:v>
                  </c:pt>
                  <c:pt idx="138">
                    <c:v>Rail - Container - Diesel</c:v>
                  </c:pt>
                  <c:pt idx="139">
                    <c:v>Rail - Container - Catenary</c:v>
                  </c:pt>
                  <c:pt idx="140">
                    <c:v>Rail - Container - Battery</c:v>
                  </c:pt>
                  <c:pt idx="141">
                    <c:v>Rail - Container - Hydrogen</c:v>
                  </c:pt>
                  <c:pt idx="142">
                    <c:v>Rail - Break bulk - Diesel</c:v>
                  </c:pt>
                  <c:pt idx="143">
                    <c:v>Rail - Break bulk - Catenary</c:v>
                  </c:pt>
                  <c:pt idx="144">
                    <c:v>Rail - Break bulk - Battery</c:v>
                  </c:pt>
                  <c:pt idx="145">
                    <c:v>Rail - Break bulk - Hydrogen</c:v>
                  </c:pt>
                  <c:pt idx="146">
                    <c:v>Rail - Neon bulk - Diesel</c:v>
                  </c:pt>
                  <c:pt idx="147">
                    <c:v>Rail - Neon bulk - Catenary</c:v>
                  </c:pt>
                  <c:pt idx="148">
                    <c:v>Rail - Neon bulk - Battery</c:v>
                  </c:pt>
                  <c:pt idx="149">
                    <c:v>Rail - Neon bulk - Hydrogen</c:v>
                  </c:pt>
                  <c:pt idx="150">
                    <c:v>Road - Dry bulk - Diesel</c:v>
                  </c:pt>
                  <c:pt idx="151">
                    <c:v>Road - Dry bulk - Battery</c:v>
                  </c:pt>
                  <c:pt idx="152">
                    <c:v>Road - Dry bulk - Hydrogen</c:v>
                  </c:pt>
                  <c:pt idx="153">
                    <c:v>Road - Liquid bulk - Diesel</c:v>
                  </c:pt>
                  <c:pt idx="154">
                    <c:v>Road - Liquid bulk - Battery</c:v>
                  </c:pt>
                  <c:pt idx="155">
                    <c:v>Road - Liquid bulk - Hydrogen</c:v>
                  </c:pt>
                  <c:pt idx="156">
                    <c:v>Road - Container - Diesel</c:v>
                  </c:pt>
                  <c:pt idx="157">
                    <c:v>Road - Container - Battery</c:v>
                  </c:pt>
                  <c:pt idx="158">
                    <c:v>Road - Container - Hydrogen</c:v>
                  </c:pt>
                  <c:pt idx="159">
                    <c:v>Road - Break bulk - Diesel</c:v>
                  </c:pt>
                  <c:pt idx="160">
                    <c:v>Road - Break bulk - Battery</c:v>
                  </c:pt>
                  <c:pt idx="161">
                    <c:v>Road - Break bulk - Hydrogen</c:v>
                  </c:pt>
                  <c:pt idx="162">
                    <c:v>Road - Neon bulk - Diesel</c:v>
                  </c:pt>
                  <c:pt idx="163">
                    <c:v>Road - Neon bulk - Battery</c:v>
                  </c:pt>
                  <c:pt idx="164">
                    <c:v>Road - Neon bulk - Hydrogen</c:v>
                  </c:pt>
                </c:lvl>
                <c:lvl>
                  <c:pt idx="0">
                    <c:v>2023</c:v>
                  </c:pt>
                  <c:pt idx="55">
                    <c:v>2034</c:v>
                  </c:pt>
                  <c:pt idx="110">
                    <c:v>2050</c:v>
                  </c:pt>
                </c:lvl>
              </c:multiLvlStrCache>
            </c:multiLvlStrRef>
          </c:cat>
          <c:val>
            <c:numRef>
              <c:f>FIGURES!$B$16:$FC$16</c:f>
              <c:numCache>
                <c:formatCode>0.00</c:formatCode>
                <c:ptCount val="158"/>
                <c:pt idx="0" formatCode="0.00000">
                  <c:v>0</c:v>
                </c:pt>
                <c:pt idx="1">
                  <c:v>0</c:v>
                </c:pt>
                <c:pt idx="2">
                  <c:v>0</c:v>
                </c:pt>
                <c:pt idx="3">
                  <c:v>0</c:v>
                </c:pt>
                <c:pt idx="4">
                  <c:v>0</c:v>
                </c:pt>
                <c:pt idx="5" formatCode="General">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formatCode="0.00000">
                  <c:v>0</c:v>
                </c:pt>
                <c:pt idx="56">
                  <c:v>0</c:v>
                </c:pt>
                <c:pt idx="57">
                  <c:v>0</c:v>
                </c:pt>
                <c:pt idx="58">
                  <c:v>0</c:v>
                </c:pt>
                <c:pt idx="59">
                  <c:v>0</c:v>
                </c:pt>
                <c:pt idx="60" formatCode="General">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formatCode="0.00000">
                  <c:v>0</c:v>
                </c:pt>
                <c:pt idx="111">
                  <c:v>0</c:v>
                </c:pt>
                <c:pt idx="112">
                  <c:v>0</c:v>
                </c:pt>
                <c:pt idx="113">
                  <c:v>0</c:v>
                </c:pt>
                <c:pt idx="114">
                  <c:v>0</c:v>
                </c:pt>
                <c:pt idx="115" formatCode="General">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extLst>
            <c:ext xmlns:c16="http://schemas.microsoft.com/office/drawing/2014/chart" uri="{C3380CC4-5D6E-409C-BE32-E72D297353CC}">
              <c16:uniqueId val="{0000000A-F9C0-40FC-B5F5-8B7C4578ACB4}"/>
            </c:ext>
          </c:extLst>
        </c:ser>
        <c:dLbls>
          <c:showLegendKey val="0"/>
          <c:showVal val="0"/>
          <c:showCatName val="0"/>
          <c:showSerName val="0"/>
          <c:showPercent val="0"/>
          <c:showBubbleSize val="0"/>
        </c:dLbls>
        <c:gapWidth val="150"/>
        <c:overlap val="100"/>
        <c:axId val="969137984"/>
        <c:axId val="969138312"/>
      </c:barChart>
      <c:catAx>
        <c:axId val="969137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69138312"/>
        <c:crosses val="autoZero"/>
        <c:auto val="1"/>
        <c:lblAlgn val="ctr"/>
        <c:lblOffset val="100"/>
        <c:noMultiLvlLbl val="0"/>
      </c:catAx>
      <c:valAx>
        <c:axId val="96913831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69137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FIGURES!$C$397</c:f>
              <c:strCache>
                <c:ptCount val="1"/>
                <c:pt idx="0">
                  <c:v>Capex vehicle</c:v>
                </c:pt>
              </c:strCache>
            </c:strRef>
          </c:tx>
          <c:spPr>
            <a:solidFill>
              <a:schemeClr val="accent1"/>
            </a:solidFill>
            <a:ln>
              <a:noFill/>
            </a:ln>
            <a:effectLst/>
          </c:spPr>
          <c:invertIfNegative val="0"/>
          <c:cat>
            <c:multiLvlStrRef>
              <c:f>FIGURES!$A$398:$B$562</c:f>
              <c:multiLvlStrCache>
                <c:ptCount val="165"/>
                <c:lvl>
                  <c:pt idx="0">
                    <c:v>Sea - Neon bulk - Heavy fuel oil</c:v>
                  </c:pt>
                  <c:pt idx="1">
                    <c:v>Sea - Dry bulk - Heavy fuel oil</c:v>
                  </c:pt>
                  <c:pt idx="2">
                    <c:v>Sea - Container - Heavy fuel oil</c:v>
                  </c:pt>
                  <c:pt idx="3">
                    <c:v>Sea - Break bulk - Heavy fuel oil</c:v>
                  </c:pt>
                  <c:pt idx="4">
                    <c:v>Rail - Dry bulk - Catenary</c:v>
                  </c:pt>
                  <c:pt idx="5">
                    <c:v>Sea - Neon bulk - Maritime gas oil</c:v>
                  </c:pt>
                  <c:pt idx="6">
                    <c:v>Sea - Dry bulk - Maritime gas oil</c:v>
                  </c:pt>
                  <c:pt idx="7">
                    <c:v>Sea - Container - Maritime gas oil</c:v>
                  </c:pt>
                  <c:pt idx="8">
                    <c:v>Sea - Break bulk - Maritime gas oil</c:v>
                  </c:pt>
                  <c:pt idx="9">
                    <c:v>Rail - Dry bulk - Diesel</c:v>
                  </c:pt>
                  <c:pt idx="10">
                    <c:v>Rail - Break bulk - Catenary</c:v>
                  </c:pt>
                  <c:pt idx="11">
                    <c:v>Rail - Dry bulk - Battery</c:v>
                  </c:pt>
                  <c:pt idx="12">
                    <c:v>Rail - Container - Catenary</c:v>
                  </c:pt>
                  <c:pt idx="13">
                    <c:v>Rail - Neon bulk - Catenary</c:v>
                  </c:pt>
                  <c:pt idx="14">
                    <c:v>Rail - Liquid bulk - Catenary</c:v>
                  </c:pt>
                  <c:pt idx="15">
                    <c:v>Rail - Break bulk - Diesel</c:v>
                  </c:pt>
                  <c:pt idx="16">
                    <c:v>Sea - Neon bulk - Ammoina</c:v>
                  </c:pt>
                  <c:pt idx="17">
                    <c:v>Sea - Dry bulk - Ammonia</c:v>
                  </c:pt>
                  <c:pt idx="18">
                    <c:v>Rail - Break bulk - Battery</c:v>
                  </c:pt>
                  <c:pt idx="19">
                    <c:v>Rail - Dry bulk - Hydrogen</c:v>
                  </c:pt>
                  <c:pt idx="20">
                    <c:v>Sea - Neon bulk - Hydrogen</c:v>
                  </c:pt>
                  <c:pt idx="21">
                    <c:v>Sea - Dry bulk - Hydrogen</c:v>
                  </c:pt>
                  <c:pt idx="22">
                    <c:v>Rail - Container - Diesel</c:v>
                  </c:pt>
                  <c:pt idx="23">
                    <c:v>Rail - Neon bulk - Diesel</c:v>
                  </c:pt>
                  <c:pt idx="24">
                    <c:v>Rail - Container - Battery</c:v>
                  </c:pt>
                  <c:pt idx="25">
                    <c:v>Rail - Liquid bulk - Diesel</c:v>
                  </c:pt>
                  <c:pt idx="26">
                    <c:v>Sea - Container - Ammonia</c:v>
                  </c:pt>
                  <c:pt idx="27">
                    <c:v>Rail - Break bulk - Hydrogen</c:v>
                  </c:pt>
                  <c:pt idx="28">
                    <c:v>Rail - Neon bulk - Battery</c:v>
                  </c:pt>
                  <c:pt idx="29">
                    <c:v>Rail - Liquid bulk - Battery</c:v>
                  </c:pt>
                  <c:pt idx="30">
                    <c:v>Sea - Break bulk - Ammonia</c:v>
                  </c:pt>
                  <c:pt idx="31">
                    <c:v>Sea - Container - Hydrogen</c:v>
                  </c:pt>
                  <c:pt idx="32">
                    <c:v>Sea - Break bulk - Hydrogen</c:v>
                  </c:pt>
                  <c:pt idx="33">
                    <c:v>Rail - Container - Hydrogen</c:v>
                  </c:pt>
                  <c:pt idx="34">
                    <c:v>Rail - Neon bulk - Hydrogen</c:v>
                  </c:pt>
                  <c:pt idx="35">
                    <c:v>Rail - Liquid bulk - Hydrogen</c:v>
                  </c:pt>
                  <c:pt idx="36">
                    <c:v>Sea - Neon bulk - Methanol</c:v>
                  </c:pt>
                  <c:pt idx="37">
                    <c:v>Sea - Dry bulk - Methanol</c:v>
                  </c:pt>
                  <c:pt idx="38">
                    <c:v>Sea - Container - Methanol</c:v>
                  </c:pt>
                  <c:pt idx="39">
                    <c:v>Sea - Break bulk - Methanol</c:v>
                  </c:pt>
                  <c:pt idx="40">
                    <c:v>Road - Liquid bulk - Diesel</c:v>
                  </c:pt>
                  <c:pt idx="41">
                    <c:v>Road - Container - Diesel</c:v>
                  </c:pt>
                  <c:pt idx="42">
                    <c:v>Road - Neon bulk - Diesel</c:v>
                  </c:pt>
                  <c:pt idx="43">
                    <c:v>Road - Liquid bulk - Battery</c:v>
                  </c:pt>
                  <c:pt idx="44">
                    <c:v>Road - Container - Battery</c:v>
                  </c:pt>
                  <c:pt idx="45">
                    <c:v>Road - Break bulk - Diesel</c:v>
                  </c:pt>
                  <c:pt idx="46">
                    <c:v>Road - Neon bulk - Battery</c:v>
                  </c:pt>
                  <c:pt idx="47">
                    <c:v>Road - Liquid bulk - Hydrogen</c:v>
                  </c:pt>
                  <c:pt idx="48">
                    <c:v>Road - Container - Hydrogen</c:v>
                  </c:pt>
                  <c:pt idx="49">
                    <c:v>Road - Break bulk - Battery</c:v>
                  </c:pt>
                  <c:pt idx="50">
                    <c:v>Road - Neon bulk - Hydrogen</c:v>
                  </c:pt>
                  <c:pt idx="51">
                    <c:v>Road - Dry bulk - Diesel</c:v>
                  </c:pt>
                  <c:pt idx="52">
                    <c:v>Road - Break bulk - Hydrogen</c:v>
                  </c:pt>
                  <c:pt idx="53">
                    <c:v>Road - Dry bulk - Battery</c:v>
                  </c:pt>
                  <c:pt idx="54">
                    <c:v>Road - Dry bulk - Hydrogen</c:v>
                  </c:pt>
                  <c:pt idx="55">
                    <c:v>Sea - Neon bulk - Heavy fuel oil</c:v>
                  </c:pt>
                  <c:pt idx="56">
                    <c:v>Sea - Dry bulk - Heavy fuel oil</c:v>
                  </c:pt>
                  <c:pt idx="57">
                    <c:v>Rail - Dry bulk - Catenary</c:v>
                  </c:pt>
                  <c:pt idx="58">
                    <c:v>Sea - Neon bulk - Maritime gas oil</c:v>
                  </c:pt>
                  <c:pt idx="59">
                    <c:v>Sea - Dry bulk - Maritime gas oil</c:v>
                  </c:pt>
                  <c:pt idx="60">
                    <c:v>Sea - Container - Heavy fuel oil</c:v>
                  </c:pt>
                  <c:pt idx="61">
                    <c:v>Sea - Break bulk - Heavy fuel oil</c:v>
                  </c:pt>
                  <c:pt idx="62">
                    <c:v>Sea - Container - Maritime gas oil</c:v>
                  </c:pt>
                  <c:pt idx="63">
                    <c:v>Rail - Dry bulk - Battery</c:v>
                  </c:pt>
                  <c:pt idx="64">
                    <c:v>Sea - Break bulk - Maritime gas oil</c:v>
                  </c:pt>
                  <c:pt idx="65">
                    <c:v>Rail - Dry bulk - Diesel</c:v>
                  </c:pt>
                  <c:pt idx="66">
                    <c:v>Rail - Break bulk - Catenary</c:v>
                  </c:pt>
                  <c:pt idx="67">
                    <c:v>Rail - Container - Catenary</c:v>
                  </c:pt>
                  <c:pt idx="68">
                    <c:v>Rail - Dry bulk - Hydrogen</c:v>
                  </c:pt>
                  <c:pt idx="69">
                    <c:v>Rail - Neon bulk - Catenary</c:v>
                  </c:pt>
                  <c:pt idx="70">
                    <c:v>Sea - Neon bulk - Ammoina</c:v>
                  </c:pt>
                  <c:pt idx="71">
                    <c:v>Sea - Dry bulk - Ammonia</c:v>
                  </c:pt>
                  <c:pt idx="72">
                    <c:v>Rail - Liquid bulk - Catenary</c:v>
                  </c:pt>
                  <c:pt idx="73">
                    <c:v>Sea - Neon bulk - Hydrogen</c:v>
                  </c:pt>
                  <c:pt idx="74">
                    <c:v>Sea - Dry bulk - Hydrogen</c:v>
                  </c:pt>
                  <c:pt idx="75">
                    <c:v>Rail - Break bulk - Battery</c:v>
                  </c:pt>
                  <c:pt idx="76">
                    <c:v>Rail - Break bulk - Diesel</c:v>
                  </c:pt>
                  <c:pt idx="77">
                    <c:v>Rail - Break bulk - Hydrogen</c:v>
                  </c:pt>
                  <c:pt idx="78">
                    <c:v>Rail - Container - Battery</c:v>
                  </c:pt>
                  <c:pt idx="79">
                    <c:v>Sea - Container - Ammonia</c:v>
                  </c:pt>
                  <c:pt idx="80">
                    <c:v>Rail - Neon bulk - Battery</c:v>
                  </c:pt>
                  <c:pt idx="81">
                    <c:v>Sea - Container - Hydrogen</c:v>
                  </c:pt>
                  <c:pt idx="82">
                    <c:v>Rail - Container - Diesel</c:v>
                  </c:pt>
                  <c:pt idx="83">
                    <c:v>Rail - Liquid bulk - Battery</c:v>
                  </c:pt>
                  <c:pt idx="84">
                    <c:v>Sea - Break bulk - Ammonia</c:v>
                  </c:pt>
                  <c:pt idx="85">
                    <c:v>Rail - Neon bulk - Diesel</c:v>
                  </c:pt>
                  <c:pt idx="86">
                    <c:v>Rail - Liquid bulk - Diesel</c:v>
                  </c:pt>
                  <c:pt idx="87">
                    <c:v>Sea - Break bulk - Hydrogen</c:v>
                  </c:pt>
                  <c:pt idx="88">
                    <c:v>Rail - Container - Hydrogen</c:v>
                  </c:pt>
                  <c:pt idx="89">
                    <c:v>Rail - Neon bulk - Hydrogen</c:v>
                  </c:pt>
                  <c:pt idx="90">
                    <c:v>Sea - Neon bulk - Methanol</c:v>
                  </c:pt>
                  <c:pt idx="91">
                    <c:v>Sea - Dry bulk - Methanol</c:v>
                  </c:pt>
                  <c:pt idx="92">
                    <c:v>Rail - Liquid bulk - Hydrogen</c:v>
                  </c:pt>
                  <c:pt idx="93">
                    <c:v>Sea - Container - Methanol</c:v>
                  </c:pt>
                  <c:pt idx="94">
                    <c:v>Sea - Break bulk - Methanol</c:v>
                  </c:pt>
                  <c:pt idx="95">
                    <c:v>Road - Liquid bulk - Battery</c:v>
                  </c:pt>
                  <c:pt idx="96">
                    <c:v>Road - Liquid bulk - Diesel</c:v>
                  </c:pt>
                  <c:pt idx="97">
                    <c:v>Road - Container - Battery</c:v>
                  </c:pt>
                  <c:pt idx="98">
                    <c:v>Road - Container - Diesel</c:v>
                  </c:pt>
                  <c:pt idx="99">
                    <c:v>Road - Neon bulk - Diesel</c:v>
                  </c:pt>
                  <c:pt idx="100">
                    <c:v>Road - Neon bulk - Battery</c:v>
                  </c:pt>
                  <c:pt idx="101">
                    <c:v>Road - Liquid bulk - Hydrogen</c:v>
                  </c:pt>
                  <c:pt idx="102">
                    <c:v>Road - Container - Hydrogen</c:v>
                  </c:pt>
                  <c:pt idx="103">
                    <c:v>Road - Neon bulk - Hydrogen</c:v>
                  </c:pt>
                  <c:pt idx="104">
                    <c:v>Road - Break bulk - Diesel</c:v>
                  </c:pt>
                  <c:pt idx="105">
                    <c:v>Road - Break bulk - Battery</c:v>
                  </c:pt>
                  <c:pt idx="106">
                    <c:v>Road - Break bulk - Hydrogen</c:v>
                  </c:pt>
                  <c:pt idx="107">
                    <c:v>Road - Dry bulk - Diesel</c:v>
                  </c:pt>
                  <c:pt idx="108">
                    <c:v>Road - Dry bulk - Battery</c:v>
                  </c:pt>
                  <c:pt idx="109">
                    <c:v>Road - Dry bulk - Hydrogen</c:v>
                  </c:pt>
                  <c:pt idx="110">
                    <c:v>Sea - Neon bulk - Heavy fuel oil</c:v>
                  </c:pt>
                  <c:pt idx="111">
                    <c:v>Sea - Dry bulk - Heavy fuel oil</c:v>
                  </c:pt>
                  <c:pt idx="112">
                    <c:v>Sea - Neon bulk - Maritime gas oil</c:v>
                  </c:pt>
                  <c:pt idx="113">
                    <c:v>Sea - Dry bulk - Maritime gas oil</c:v>
                  </c:pt>
                  <c:pt idx="114">
                    <c:v>Sea - Neon bulk - Ammoina</c:v>
                  </c:pt>
                  <c:pt idx="115">
                    <c:v>Sea - Dry bulk - Ammonia</c:v>
                  </c:pt>
                  <c:pt idx="116">
                    <c:v>Rail - Dry bulk - Catenary</c:v>
                  </c:pt>
                  <c:pt idx="117">
                    <c:v>Sea - Neon bulk - Hydrogen</c:v>
                  </c:pt>
                  <c:pt idx="118">
                    <c:v>Sea - Dry bulk - Hydrogen</c:v>
                  </c:pt>
                  <c:pt idx="119">
                    <c:v>Rail - Dry bulk - Hydrogen</c:v>
                  </c:pt>
                  <c:pt idx="120">
                    <c:v>Sea - Container - Heavy fuel oil</c:v>
                  </c:pt>
                  <c:pt idx="121">
                    <c:v>Rail - Dry bulk - Battery</c:v>
                  </c:pt>
                  <c:pt idx="122">
                    <c:v>Sea - Break bulk - Heavy fuel oil</c:v>
                  </c:pt>
                  <c:pt idx="123">
                    <c:v>Sea - Container - Maritime gas oil</c:v>
                  </c:pt>
                  <c:pt idx="124">
                    <c:v>Sea - Break bulk - Maritime gas oil</c:v>
                  </c:pt>
                  <c:pt idx="125">
                    <c:v>Sea - Container - Ammonia</c:v>
                  </c:pt>
                  <c:pt idx="126">
                    <c:v>Sea - Container - Hydrogen</c:v>
                  </c:pt>
                  <c:pt idx="127">
                    <c:v>Sea - Neon bulk - Methanol</c:v>
                  </c:pt>
                  <c:pt idx="128">
                    <c:v>Sea - Dry bulk - Methanol</c:v>
                  </c:pt>
                  <c:pt idx="129">
                    <c:v>Sea - Break bulk - Ammonia</c:v>
                  </c:pt>
                  <c:pt idx="130">
                    <c:v>Sea - Break bulk - Hydrogen</c:v>
                  </c:pt>
                  <c:pt idx="131">
                    <c:v>Rail - Dry bulk - Diesel</c:v>
                  </c:pt>
                  <c:pt idx="132">
                    <c:v>Rail - Break bulk - Catenary</c:v>
                  </c:pt>
                  <c:pt idx="133">
                    <c:v>Rail - Container - Catenary</c:v>
                  </c:pt>
                  <c:pt idx="134">
                    <c:v>Rail - Break bulk - Hydrogen</c:v>
                  </c:pt>
                  <c:pt idx="135">
                    <c:v>Rail - Container - Hydrogen</c:v>
                  </c:pt>
                  <c:pt idx="136">
                    <c:v>Rail - Neon bulk - Catenary</c:v>
                  </c:pt>
                  <c:pt idx="137">
                    <c:v>Rail - Break bulk - Battery</c:v>
                  </c:pt>
                  <c:pt idx="138">
                    <c:v>Rail - Liquid bulk - Catenary</c:v>
                  </c:pt>
                  <c:pt idx="139">
                    <c:v>Rail - Neon bulk - Hydrogen</c:v>
                  </c:pt>
                  <c:pt idx="140">
                    <c:v>Rail - Container - Battery</c:v>
                  </c:pt>
                  <c:pt idx="141">
                    <c:v>Sea - Container - Methanol</c:v>
                  </c:pt>
                  <c:pt idx="142">
                    <c:v>Rail - Liquid bulk - Hydrogen</c:v>
                  </c:pt>
                  <c:pt idx="143">
                    <c:v>Rail - Neon bulk - Battery</c:v>
                  </c:pt>
                  <c:pt idx="144">
                    <c:v>Sea - Break bulk - Methanol</c:v>
                  </c:pt>
                  <c:pt idx="145">
                    <c:v>Rail - Liquid bulk - Battery</c:v>
                  </c:pt>
                  <c:pt idx="146">
                    <c:v>Rail - Break bulk - Diesel</c:v>
                  </c:pt>
                  <c:pt idx="147">
                    <c:v>Rail - Container - Diesel</c:v>
                  </c:pt>
                  <c:pt idx="148">
                    <c:v>Rail - Neon bulk - Diesel</c:v>
                  </c:pt>
                  <c:pt idx="149">
                    <c:v>Rail - Liquid bulk - Diesel</c:v>
                  </c:pt>
                  <c:pt idx="150">
                    <c:v>Road - Liquid bulk - Battery</c:v>
                  </c:pt>
                  <c:pt idx="151">
                    <c:v>Road - Container - Battery</c:v>
                  </c:pt>
                  <c:pt idx="152">
                    <c:v>Road - Liquid bulk - Diesel</c:v>
                  </c:pt>
                  <c:pt idx="153">
                    <c:v>Road - Liquid bulk - Hydrogen</c:v>
                  </c:pt>
                  <c:pt idx="154">
                    <c:v>Road - Container - Diesel</c:v>
                  </c:pt>
                  <c:pt idx="155">
                    <c:v>Road - Container - Hydrogen</c:v>
                  </c:pt>
                  <c:pt idx="156">
                    <c:v>Road - Neon bulk - Battery</c:v>
                  </c:pt>
                  <c:pt idx="157">
                    <c:v>Road - Neon bulk - Diesel</c:v>
                  </c:pt>
                  <c:pt idx="158">
                    <c:v>Road - Neon bulk - Hydrogen</c:v>
                  </c:pt>
                  <c:pt idx="159">
                    <c:v>Road - Break bulk - Battery</c:v>
                  </c:pt>
                  <c:pt idx="160">
                    <c:v>Road - Break bulk - Diesel</c:v>
                  </c:pt>
                  <c:pt idx="161">
                    <c:v>Road - Break bulk - Hydrogen</c:v>
                  </c:pt>
                  <c:pt idx="162">
                    <c:v>Road - Dry bulk - Battery</c:v>
                  </c:pt>
                  <c:pt idx="163">
                    <c:v>Road - Dry bulk - Diesel</c:v>
                  </c:pt>
                  <c:pt idx="164">
                    <c:v>Road - Dry bulk - Hydrogen</c:v>
                  </c:pt>
                </c:lvl>
                <c:lvl>
                  <c:pt idx="0">
                    <c:v>2023</c:v>
                  </c:pt>
                  <c:pt idx="55">
                    <c:v>2034</c:v>
                  </c:pt>
                  <c:pt idx="110">
                    <c:v>2050</c:v>
                  </c:pt>
                </c:lvl>
              </c:multiLvlStrCache>
            </c:multiLvlStrRef>
          </c:cat>
          <c:val>
            <c:numRef>
              <c:f>FIGURES!$C$398:$C$562</c:f>
              <c:numCache>
                <c:formatCode>General</c:formatCode>
                <c:ptCount val="165"/>
                <c:pt idx="0">
                  <c:v>1.0347449498978036E-3</c:v>
                </c:pt>
                <c:pt idx="1">
                  <c:v>1.0347449498978036E-3</c:v>
                </c:pt>
                <c:pt idx="2">
                  <c:v>1.0347449498978036E-3</c:v>
                </c:pt>
                <c:pt idx="3">
                  <c:v>1.0347449498978036E-3</c:v>
                </c:pt>
                <c:pt idx="4">
                  <c:v>1.0902430594344164E-3</c:v>
                </c:pt>
                <c:pt idx="5">
                  <c:v>1.0347449498978036E-3</c:v>
                </c:pt>
                <c:pt idx="6">
                  <c:v>1.0347449498978036E-3</c:v>
                </c:pt>
                <c:pt idx="7">
                  <c:v>1.0347449498978036E-3</c:v>
                </c:pt>
                <c:pt idx="8">
                  <c:v>1.0347449498978036E-3</c:v>
                </c:pt>
                <c:pt idx="9">
                  <c:v>7.6317014160409149E-4</c:v>
                </c:pt>
                <c:pt idx="10">
                  <c:v>1.0902430594344164E-3</c:v>
                </c:pt>
                <c:pt idx="11">
                  <c:v>2.1696909640280381E-3</c:v>
                </c:pt>
                <c:pt idx="12">
                  <c:v>1.0902430594344164E-3</c:v>
                </c:pt>
                <c:pt idx="13">
                  <c:v>8.7219444754753307E-4</c:v>
                </c:pt>
                <c:pt idx="14">
                  <c:v>1.0902430594344164E-3</c:v>
                </c:pt>
                <c:pt idx="15">
                  <c:v>7.6317014160409149E-4</c:v>
                </c:pt>
                <c:pt idx="16">
                  <c:v>2.0676718491395704E-3</c:v>
                </c:pt>
                <c:pt idx="17">
                  <c:v>2.0676718491395704E-3</c:v>
                </c:pt>
                <c:pt idx="18">
                  <c:v>2.1696909640280381E-3</c:v>
                </c:pt>
                <c:pt idx="19">
                  <c:v>2.1632138711235615E-3</c:v>
                </c:pt>
                <c:pt idx="20">
                  <c:v>2.0678991054715748E-3</c:v>
                </c:pt>
                <c:pt idx="21">
                  <c:v>2.0678991054715748E-3</c:v>
                </c:pt>
                <c:pt idx="22">
                  <c:v>7.6317014160409149E-4</c:v>
                </c:pt>
                <c:pt idx="23">
                  <c:v>6.1053611328327313E-4</c:v>
                </c:pt>
                <c:pt idx="24">
                  <c:v>2.1696909640280381E-3</c:v>
                </c:pt>
                <c:pt idx="25">
                  <c:v>7.6317014160409149E-4</c:v>
                </c:pt>
                <c:pt idx="26">
                  <c:v>2.0676718491395704E-3</c:v>
                </c:pt>
                <c:pt idx="27">
                  <c:v>2.1632138711235615E-3</c:v>
                </c:pt>
                <c:pt idx="28">
                  <c:v>1.7357527712224307E-3</c:v>
                </c:pt>
                <c:pt idx="29">
                  <c:v>2.1696909640280381E-3</c:v>
                </c:pt>
                <c:pt idx="30">
                  <c:v>2.0676718491395704E-3</c:v>
                </c:pt>
                <c:pt idx="31">
                  <c:v>2.0678991054715748E-3</c:v>
                </c:pt>
                <c:pt idx="32">
                  <c:v>2.0678991054715748E-3</c:v>
                </c:pt>
                <c:pt idx="33">
                  <c:v>2.1632138711235615E-3</c:v>
                </c:pt>
                <c:pt idx="34">
                  <c:v>1.7305710968988492E-3</c:v>
                </c:pt>
                <c:pt idx="35">
                  <c:v>2.1632138711235615E-3</c:v>
                </c:pt>
                <c:pt idx="36">
                  <c:v>1.3444866658711308E-3</c:v>
                </c:pt>
                <c:pt idx="37">
                  <c:v>1.3444866658711308E-3</c:v>
                </c:pt>
                <c:pt idx="38">
                  <c:v>1.3444866658711308E-3</c:v>
                </c:pt>
                <c:pt idx="39">
                  <c:v>1.3444866658711308E-3</c:v>
                </c:pt>
                <c:pt idx="40">
                  <c:v>6.1563760604058963E-3</c:v>
                </c:pt>
                <c:pt idx="41">
                  <c:v>6.4495368251871292E-3</c:v>
                </c:pt>
                <c:pt idx="42">
                  <c:v>7.5244596293849832E-3</c:v>
                </c:pt>
                <c:pt idx="43">
                  <c:v>2.2614787309588272E-2</c:v>
                </c:pt>
                <c:pt idx="44">
                  <c:v>2.3691681943378187E-2</c:v>
                </c:pt>
                <c:pt idx="45">
                  <c:v>8.6820688031365185E-3</c:v>
                </c:pt>
                <c:pt idx="46">
                  <c:v>2.7640295600607889E-2</c:v>
                </c:pt>
                <c:pt idx="47">
                  <c:v>2.2311798507511204E-2</c:v>
                </c:pt>
                <c:pt idx="48">
                  <c:v>2.3374265103106976E-2</c:v>
                </c:pt>
                <c:pt idx="49">
                  <c:v>3.1892648769932176E-2</c:v>
                </c:pt>
                <c:pt idx="50">
                  <c:v>2.7269975953624806E-2</c:v>
                </c:pt>
                <c:pt idx="51">
                  <c:v>1.2312752120811793E-2</c:v>
                </c:pt>
                <c:pt idx="52">
                  <c:v>3.1465356869567078E-2</c:v>
                </c:pt>
                <c:pt idx="53">
                  <c:v>4.5229574619176545E-2</c:v>
                </c:pt>
                <c:pt idx="54">
                  <c:v>4.4623597015022408E-2</c:v>
                </c:pt>
                <c:pt idx="55">
                  <c:v>1.0347449498978036E-3</c:v>
                </c:pt>
                <c:pt idx="56">
                  <c:v>1.0347449498978036E-3</c:v>
                </c:pt>
                <c:pt idx="57">
                  <c:v>1.0902430594344164E-3</c:v>
                </c:pt>
                <c:pt idx="58">
                  <c:v>1.0347449498978036E-3</c:v>
                </c:pt>
                <c:pt idx="59">
                  <c:v>1.0347449498978036E-3</c:v>
                </c:pt>
                <c:pt idx="60">
                  <c:v>1.0347449498978036E-3</c:v>
                </c:pt>
                <c:pt idx="61">
                  <c:v>1.0347449498978036E-3</c:v>
                </c:pt>
                <c:pt idx="62">
                  <c:v>1.0347449498978036E-3</c:v>
                </c:pt>
                <c:pt idx="63">
                  <c:v>1.8209695944675583E-3</c:v>
                </c:pt>
                <c:pt idx="64">
                  <c:v>1.0347449498978036E-3</c:v>
                </c:pt>
                <c:pt idx="65">
                  <c:v>7.6317014160409149E-4</c:v>
                </c:pt>
                <c:pt idx="66">
                  <c:v>1.0902430594344164E-3</c:v>
                </c:pt>
                <c:pt idx="67">
                  <c:v>1.0902430594344164E-3</c:v>
                </c:pt>
                <c:pt idx="68">
                  <c:v>1.6052596798267933E-3</c:v>
                </c:pt>
                <c:pt idx="69">
                  <c:v>8.7219444754753307E-4</c:v>
                </c:pt>
                <c:pt idx="70">
                  <c:v>1.9812010201050753E-3</c:v>
                </c:pt>
                <c:pt idx="71">
                  <c:v>1.9812010201050753E-3</c:v>
                </c:pt>
                <c:pt idx="72">
                  <c:v>1.0902430594344164E-3</c:v>
                </c:pt>
                <c:pt idx="73">
                  <c:v>1.9922371300663917E-3</c:v>
                </c:pt>
                <c:pt idx="74">
                  <c:v>1.9922371300663917E-3</c:v>
                </c:pt>
                <c:pt idx="75">
                  <c:v>1.8209695944675583E-3</c:v>
                </c:pt>
                <c:pt idx="76">
                  <c:v>7.6317014160409149E-4</c:v>
                </c:pt>
                <c:pt idx="77">
                  <c:v>1.6052596798267933E-3</c:v>
                </c:pt>
                <c:pt idx="78">
                  <c:v>1.8209695944675583E-3</c:v>
                </c:pt>
                <c:pt idx="79">
                  <c:v>1.9812010201050753E-3</c:v>
                </c:pt>
                <c:pt idx="80">
                  <c:v>1.4567756755740466E-3</c:v>
                </c:pt>
                <c:pt idx="81">
                  <c:v>1.9922371300663917E-3</c:v>
                </c:pt>
                <c:pt idx="82">
                  <c:v>7.6317014160409149E-4</c:v>
                </c:pt>
                <c:pt idx="83">
                  <c:v>1.8209695944675583E-3</c:v>
                </c:pt>
                <c:pt idx="84">
                  <c:v>1.9812010201050753E-3</c:v>
                </c:pt>
                <c:pt idx="85">
                  <c:v>6.1053611328327313E-4</c:v>
                </c:pt>
                <c:pt idx="86">
                  <c:v>7.6317014160409149E-4</c:v>
                </c:pt>
                <c:pt idx="87">
                  <c:v>1.9922371300663917E-3</c:v>
                </c:pt>
                <c:pt idx="88">
                  <c:v>1.6052596798267933E-3</c:v>
                </c:pt>
                <c:pt idx="89">
                  <c:v>1.2842077438614348E-3</c:v>
                </c:pt>
                <c:pt idx="90">
                  <c:v>1.3120601049831952E-3</c:v>
                </c:pt>
                <c:pt idx="91">
                  <c:v>1.3120601049831952E-3</c:v>
                </c:pt>
                <c:pt idx="92">
                  <c:v>1.6052596798267933E-3</c:v>
                </c:pt>
                <c:pt idx="93">
                  <c:v>1.3120601049831952E-3</c:v>
                </c:pt>
                <c:pt idx="94">
                  <c:v>1.3120601049831952E-3</c:v>
                </c:pt>
                <c:pt idx="95">
                  <c:v>1.1641318209290907E-2</c:v>
                </c:pt>
                <c:pt idx="96">
                  <c:v>6.406113752333166E-3</c:v>
                </c:pt>
                <c:pt idx="97">
                  <c:v>1.2195666695447615E-2</c:v>
                </c:pt>
                <c:pt idx="98">
                  <c:v>6.7111667881585542E-3</c:v>
                </c:pt>
                <c:pt idx="99">
                  <c:v>7.8296945861849807E-3</c:v>
                </c:pt>
                <c:pt idx="100">
                  <c:v>1.4228277811355551E-2</c:v>
                </c:pt>
                <c:pt idx="101">
                  <c:v>1.2983934501295575E-2</c:v>
                </c:pt>
                <c:pt idx="102">
                  <c:v>1.3602217096595365E-2</c:v>
                </c:pt>
                <c:pt idx="103">
                  <c:v>1.586925327936126E-2</c:v>
                </c:pt>
                <c:pt idx="104">
                  <c:v>9.034262984059592E-3</c:v>
                </c:pt>
                <c:pt idx="105">
                  <c:v>1.6417243628487177E-2</c:v>
                </c:pt>
                <c:pt idx="106">
                  <c:v>1.8310676860801452E-2</c:v>
                </c:pt>
                <c:pt idx="107">
                  <c:v>1.2812227504666332E-2</c:v>
                </c:pt>
                <c:pt idx="108">
                  <c:v>2.3282636418581814E-2</c:v>
                </c:pt>
                <c:pt idx="109">
                  <c:v>2.5967869002591151E-2</c:v>
                </c:pt>
                <c:pt idx="110">
                  <c:v>1.0347449498978036E-3</c:v>
                </c:pt>
                <c:pt idx="111">
                  <c:v>1.0347449498978036E-3</c:v>
                </c:pt>
                <c:pt idx="112">
                  <c:v>1.0347449498978036E-3</c:v>
                </c:pt>
                <c:pt idx="113">
                  <c:v>1.0347449498978036E-3</c:v>
                </c:pt>
                <c:pt idx="114">
                  <c:v>1.2551060916366106E-3</c:v>
                </c:pt>
                <c:pt idx="115">
                  <c:v>1.2551060916366106E-3</c:v>
                </c:pt>
                <c:pt idx="116">
                  <c:v>1.0902430594344164E-3</c:v>
                </c:pt>
                <c:pt idx="117">
                  <c:v>1.3569040676564852E-3</c:v>
                </c:pt>
                <c:pt idx="118">
                  <c:v>1.3569040676564852E-3</c:v>
                </c:pt>
                <c:pt idx="119">
                  <c:v>8.7510622887057403E-4</c:v>
                </c:pt>
                <c:pt idx="120">
                  <c:v>1.0347449498978036E-3</c:v>
                </c:pt>
                <c:pt idx="121">
                  <c:v>1.364623687619921E-3</c:v>
                </c:pt>
                <c:pt idx="122">
                  <c:v>1.0347449498978036E-3</c:v>
                </c:pt>
                <c:pt idx="123">
                  <c:v>1.0347449498978036E-3</c:v>
                </c:pt>
                <c:pt idx="124">
                  <c:v>1.0347449498978036E-3</c:v>
                </c:pt>
                <c:pt idx="125">
                  <c:v>1.2551060916366106E-3</c:v>
                </c:pt>
                <c:pt idx="126">
                  <c:v>1.3569040676564852E-3</c:v>
                </c:pt>
                <c:pt idx="127">
                  <c:v>1.0397745068075209E-3</c:v>
                </c:pt>
                <c:pt idx="128">
                  <c:v>1.0397745068075209E-3</c:v>
                </c:pt>
                <c:pt idx="129">
                  <c:v>1.2551060916366106E-3</c:v>
                </c:pt>
                <c:pt idx="130">
                  <c:v>1.3569040676564852E-3</c:v>
                </c:pt>
                <c:pt idx="131">
                  <c:v>7.6317014160409149E-4</c:v>
                </c:pt>
                <c:pt idx="132">
                  <c:v>1.0902430594344164E-3</c:v>
                </c:pt>
                <c:pt idx="133">
                  <c:v>1.0902430594344164E-3</c:v>
                </c:pt>
                <c:pt idx="134">
                  <c:v>8.7510622887057403E-4</c:v>
                </c:pt>
                <c:pt idx="135">
                  <c:v>8.7510622887057403E-4</c:v>
                </c:pt>
                <c:pt idx="136">
                  <c:v>8.7219444754753307E-4</c:v>
                </c:pt>
                <c:pt idx="137">
                  <c:v>1.364623687619921E-3</c:v>
                </c:pt>
                <c:pt idx="138">
                  <c:v>1.0902430594344164E-3</c:v>
                </c:pt>
                <c:pt idx="139">
                  <c:v>7.0008498309645929E-4</c:v>
                </c:pt>
                <c:pt idx="140">
                  <c:v>1.364623687619921E-3</c:v>
                </c:pt>
                <c:pt idx="141">
                  <c:v>1.0397745068075209E-3</c:v>
                </c:pt>
                <c:pt idx="142">
                  <c:v>8.7510622887057403E-4</c:v>
                </c:pt>
                <c:pt idx="143">
                  <c:v>1.0916989500959369E-3</c:v>
                </c:pt>
                <c:pt idx="144">
                  <c:v>1.0397745068075209E-3</c:v>
                </c:pt>
                <c:pt idx="145">
                  <c:v>1.364623687619921E-3</c:v>
                </c:pt>
                <c:pt idx="146">
                  <c:v>7.6317014160409149E-4</c:v>
                </c:pt>
                <c:pt idx="147">
                  <c:v>7.6317014160409149E-4</c:v>
                </c:pt>
                <c:pt idx="148">
                  <c:v>6.1053611328327313E-4</c:v>
                </c:pt>
                <c:pt idx="149">
                  <c:v>7.6317014160409149E-4</c:v>
                </c:pt>
                <c:pt idx="150">
                  <c:v>8.497708528469412E-3</c:v>
                </c:pt>
                <c:pt idx="151">
                  <c:v>8.9023613155393838E-3</c:v>
                </c:pt>
                <c:pt idx="152">
                  <c:v>6.7329270291914978E-3</c:v>
                </c:pt>
                <c:pt idx="153">
                  <c:v>9.0858113202051029E-3</c:v>
                </c:pt>
                <c:pt idx="154">
                  <c:v>7.0535426020101408E-3</c:v>
                </c:pt>
                <c:pt idx="155">
                  <c:v>9.5184690021196325E-3</c:v>
                </c:pt>
                <c:pt idx="156">
                  <c:v>1.0386088201462616E-2</c:v>
                </c:pt>
                <c:pt idx="157">
                  <c:v>8.2291330356784979E-3</c:v>
                </c:pt>
                <c:pt idx="158">
                  <c:v>1.1104880502472903E-2</c:v>
                </c:pt>
                <c:pt idx="159">
                  <c:v>1.1983947924764555E-2</c:v>
                </c:pt>
                <c:pt idx="160">
                  <c:v>9.4951535027059594E-3</c:v>
                </c:pt>
                <c:pt idx="161">
                  <c:v>1.2813323656699505E-2</c:v>
                </c:pt>
                <c:pt idx="162">
                  <c:v>1.6995417056938824E-2</c:v>
                </c:pt>
                <c:pt idx="163">
                  <c:v>1.3465854058382996E-2</c:v>
                </c:pt>
                <c:pt idx="164">
                  <c:v>1.8171622640410206E-2</c:v>
                </c:pt>
              </c:numCache>
            </c:numRef>
          </c:val>
          <c:extLst>
            <c:ext xmlns:c16="http://schemas.microsoft.com/office/drawing/2014/chart" uri="{C3380CC4-5D6E-409C-BE32-E72D297353CC}">
              <c16:uniqueId val="{00000000-F45C-465E-A516-77C650081690}"/>
            </c:ext>
          </c:extLst>
        </c:ser>
        <c:ser>
          <c:idx val="1"/>
          <c:order val="1"/>
          <c:tx>
            <c:strRef>
              <c:f>FIGURES!$D$397</c:f>
              <c:strCache>
                <c:ptCount val="1"/>
                <c:pt idx="0">
                  <c:v>Residual value (vehicle)</c:v>
                </c:pt>
              </c:strCache>
            </c:strRef>
          </c:tx>
          <c:spPr>
            <a:solidFill>
              <a:schemeClr val="accent2"/>
            </a:solidFill>
            <a:ln>
              <a:noFill/>
            </a:ln>
            <a:effectLst/>
          </c:spPr>
          <c:invertIfNegative val="0"/>
          <c:cat>
            <c:multiLvlStrRef>
              <c:f>FIGURES!$A$398:$B$562</c:f>
              <c:multiLvlStrCache>
                <c:ptCount val="165"/>
                <c:lvl>
                  <c:pt idx="0">
                    <c:v>Sea - Neon bulk - Heavy fuel oil</c:v>
                  </c:pt>
                  <c:pt idx="1">
                    <c:v>Sea - Dry bulk - Heavy fuel oil</c:v>
                  </c:pt>
                  <c:pt idx="2">
                    <c:v>Sea - Container - Heavy fuel oil</c:v>
                  </c:pt>
                  <c:pt idx="3">
                    <c:v>Sea - Break bulk - Heavy fuel oil</c:v>
                  </c:pt>
                  <c:pt idx="4">
                    <c:v>Rail - Dry bulk - Catenary</c:v>
                  </c:pt>
                  <c:pt idx="5">
                    <c:v>Sea - Neon bulk - Maritime gas oil</c:v>
                  </c:pt>
                  <c:pt idx="6">
                    <c:v>Sea - Dry bulk - Maritime gas oil</c:v>
                  </c:pt>
                  <c:pt idx="7">
                    <c:v>Sea - Container - Maritime gas oil</c:v>
                  </c:pt>
                  <c:pt idx="8">
                    <c:v>Sea - Break bulk - Maritime gas oil</c:v>
                  </c:pt>
                  <c:pt idx="9">
                    <c:v>Rail - Dry bulk - Diesel</c:v>
                  </c:pt>
                  <c:pt idx="10">
                    <c:v>Rail - Break bulk - Catenary</c:v>
                  </c:pt>
                  <c:pt idx="11">
                    <c:v>Rail - Dry bulk - Battery</c:v>
                  </c:pt>
                  <c:pt idx="12">
                    <c:v>Rail - Container - Catenary</c:v>
                  </c:pt>
                  <c:pt idx="13">
                    <c:v>Rail - Neon bulk - Catenary</c:v>
                  </c:pt>
                  <c:pt idx="14">
                    <c:v>Rail - Liquid bulk - Catenary</c:v>
                  </c:pt>
                  <c:pt idx="15">
                    <c:v>Rail - Break bulk - Diesel</c:v>
                  </c:pt>
                  <c:pt idx="16">
                    <c:v>Sea - Neon bulk - Ammoina</c:v>
                  </c:pt>
                  <c:pt idx="17">
                    <c:v>Sea - Dry bulk - Ammonia</c:v>
                  </c:pt>
                  <c:pt idx="18">
                    <c:v>Rail - Break bulk - Battery</c:v>
                  </c:pt>
                  <c:pt idx="19">
                    <c:v>Rail - Dry bulk - Hydrogen</c:v>
                  </c:pt>
                  <c:pt idx="20">
                    <c:v>Sea - Neon bulk - Hydrogen</c:v>
                  </c:pt>
                  <c:pt idx="21">
                    <c:v>Sea - Dry bulk - Hydrogen</c:v>
                  </c:pt>
                  <c:pt idx="22">
                    <c:v>Rail - Container - Diesel</c:v>
                  </c:pt>
                  <c:pt idx="23">
                    <c:v>Rail - Neon bulk - Diesel</c:v>
                  </c:pt>
                  <c:pt idx="24">
                    <c:v>Rail - Container - Battery</c:v>
                  </c:pt>
                  <c:pt idx="25">
                    <c:v>Rail - Liquid bulk - Diesel</c:v>
                  </c:pt>
                  <c:pt idx="26">
                    <c:v>Sea - Container - Ammonia</c:v>
                  </c:pt>
                  <c:pt idx="27">
                    <c:v>Rail - Break bulk - Hydrogen</c:v>
                  </c:pt>
                  <c:pt idx="28">
                    <c:v>Rail - Neon bulk - Battery</c:v>
                  </c:pt>
                  <c:pt idx="29">
                    <c:v>Rail - Liquid bulk - Battery</c:v>
                  </c:pt>
                  <c:pt idx="30">
                    <c:v>Sea - Break bulk - Ammonia</c:v>
                  </c:pt>
                  <c:pt idx="31">
                    <c:v>Sea - Container - Hydrogen</c:v>
                  </c:pt>
                  <c:pt idx="32">
                    <c:v>Sea - Break bulk - Hydrogen</c:v>
                  </c:pt>
                  <c:pt idx="33">
                    <c:v>Rail - Container - Hydrogen</c:v>
                  </c:pt>
                  <c:pt idx="34">
                    <c:v>Rail - Neon bulk - Hydrogen</c:v>
                  </c:pt>
                  <c:pt idx="35">
                    <c:v>Rail - Liquid bulk - Hydrogen</c:v>
                  </c:pt>
                  <c:pt idx="36">
                    <c:v>Sea - Neon bulk - Methanol</c:v>
                  </c:pt>
                  <c:pt idx="37">
                    <c:v>Sea - Dry bulk - Methanol</c:v>
                  </c:pt>
                  <c:pt idx="38">
                    <c:v>Sea - Container - Methanol</c:v>
                  </c:pt>
                  <c:pt idx="39">
                    <c:v>Sea - Break bulk - Methanol</c:v>
                  </c:pt>
                  <c:pt idx="40">
                    <c:v>Road - Liquid bulk - Diesel</c:v>
                  </c:pt>
                  <c:pt idx="41">
                    <c:v>Road - Container - Diesel</c:v>
                  </c:pt>
                  <c:pt idx="42">
                    <c:v>Road - Neon bulk - Diesel</c:v>
                  </c:pt>
                  <c:pt idx="43">
                    <c:v>Road - Liquid bulk - Battery</c:v>
                  </c:pt>
                  <c:pt idx="44">
                    <c:v>Road - Container - Battery</c:v>
                  </c:pt>
                  <c:pt idx="45">
                    <c:v>Road - Break bulk - Diesel</c:v>
                  </c:pt>
                  <c:pt idx="46">
                    <c:v>Road - Neon bulk - Battery</c:v>
                  </c:pt>
                  <c:pt idx="47">
                    <c:v>Road - Liquid bulk - Hydrogen</c:v>
                  </c:pt>
                  <c:pt idx="48">
                    <c:v>Road - Container - Hydrogen</c:v>
                  </c:pt>
                  <c:pt idx="49">
                    <c:v>Road - Break bulk - Battery</c:v>
                  </c:pt>
                  <c:pt idx="50">
                    <c:v>Road - Neon bulk - Hydrogen</c:v>
                  </c:pt>
                  <c:pt idx="51">
                    <c:v>Road - Dry bulk - Diesel</c:v>
                  </c:pt>
                  <c:pt idx="52">
                    <c:v>Road - Break bulk - Hydrogen</c:v>
                  </c:pt>
                  <c:pt idx="53">
                    <c:v>Road - Dry bulk - Battery</c:v>
                  </c:pt>
                  <c:pt idx="54">
                    <c:v>Road - Dry bulk - Hydrogen</c:v>
                  </c:pt>
                  <c:pt idx="55">
                    <c:v>Sea - Neon bulk - Heavy fuel oil</c:v>
                  </c:pt>
                  <c:pt idx="56">
                    <c:v>Sea - Dry bulk - Heavy fuel oil</c:v>
                  </c:pt>
                  <c:pt idx="57">
                    <c:v>Rail - Dry bulk - Catenary</c:v>
                  </c:pt>
                  <c:pt idx="58">
                    <c:v>Sea - Neon bulk - Maritime gas oil</c:v>
                  </c:pt>
                  <c:pt idx="59">
                    <c:v>Sea - Dry bulk - Maritime gas oil</c:v>
                  </c:pt>
                  <c:pt idx="60">
                    <c:v>Sea - Container - Heavy fuel oil</c:v>
                  </c:pt>
                  <c:pt idx="61">
                    <c:v>Sea - Break bulk - Heavy fuel oil</c:v>
                  </c:pt>
                  <c:pt idx="62">
                    <c:v>Sea - Container - Maritime gas oil</c:v>
                  </c:pt>
                  <c:pt idx="63">
                    <c:v>Rail - Dry bulk - Battery</c:v>
                  </c:pt>
                  <c:pt idx="64">
                    <c:v>Sea - Break bulk - Maritime gas oil</c:v>
                  </c:pt>
                  <c:pt idx="65">
                    <c:v>Rail - Dry bulk - Diesel</c:v>
                  </c:pt>
                  <c:pt idx="66">
                    <c:v>Rail - Break bulk - Catenary</c:v>
                  </c:pt>
                  <c:pt idx="67">
                    <c:v>Rail - Container - Catenary</c:v>
                  </c:pt>
                  <c:pt idx="68">
                    <c:v>Rail - Dry bulk - Hydrogen</c:v>
                  </c:pt>
                  <c:pt idx="69">
                    <c:v>Rail - Neon bulk - Catenary</c:v>
                  </c:pt>
                  <c:pt idx="70">
                    <c:v>Sea - Neon bulk - Ammoina</c:v>
                  </c:pt>
                  <c:pt idx="71">
                    <c:v>Sea - Dry bulk - Ammonia</c:v>
                  </c:pt>
                  <c:pt idx="72">
                    <c:v>Rail - Liquid bulk - Catenary</c:v>
                  </c:pt>
                  <c:pt idx="73">
                    <c:v>Sea - Neon bulk - Hydrogen</c:v>
                  </c:pt>
                  <c:pt idx="74">
                    <c:v>Sea - Dry bulk - Hydrogen</c:v>
                  </c:pt>
                  <c:pt idx="75">
                    <c:v>Rail - Break bulk - Battery</c:v>
                  </c:pt>
                  <c:pt idx="76">
                    <c:v>Rail - Break bulk - Diesel</c:v>
                  </c:pt>
                  <c:pt idx="77">
                    <c:v>Rail - Break bulk - Hydrogen</c:v>
                  </c:pt>
                  <c:pt idx="78">
                    <c:v>Rail - Container - Battery</c:v>
                  </c:pt>
                  <c:pt idx="79">
                    <c:v>Sea - Container - Ammonia</c:v>
                  </c:pt>
                  <c:pt idx="80">
                    <c:v>Rail - Neon bulk - Battery</c:v>
                  </c:pt>
                  <c:pt idx="81">
                    <c:v>Sea - Container - Hydrogen</c:v>
                  </c:pt>
                  <c:pt idx="82">
                    <c:v>Rail - Container - Diesel</c:v>
                  </c:pt>
                  <c:pt idx="83">
                    <c:v>Rail - Liquid bulk - Battery</c:v>
                  </c:pt>
                  <c:pt idx="84">
                    <c:v>Sea - Break bulk - Ammonia</c:v>
                  </c:pt>
                  <c:pt idx="85">
                    <c:v>Rail - Neon bulk - Diesel</c:v>
                  </c:pt>
                  <c:pt idx="86">
                    <c:v>Rail - Liquid bulk - Diesel</c:v>
                  </c:pt>
                  <c:pt idx="87">
                    <c:v>Sea - Break bulk - Hydrogen</c:v>
                  </c:pt>
                  <c:pt idx="88">
                    <c:v>Rail - Container - Hydrogen</c:v>
                  </c:pt>
                  <c:pt idx="89">
                    <c:v>Rail - Neon bulk - Hydrogen</c:v>
                  </c:pt>
                  <c:pt idx="90">
                    <c:v>Sea - Neon bulk - Methanol</c:v>
                  </c:pt>
                  <c:pt idx="91">
                    <c:v>Sea - Dry bulk - Methanol</c:v>
                  </c:pt>
                  <c:pt idx="92">
                    <c:v>Rail - Liquid bulk - Hydrogen</c:v>
                  </c:pt>
                  <c:pt idx="93">
                    <c:v>Sea - Container - Methanol</c:v>
                  </c:pt>
                  <c:pt idx="94">
                    <c:v>Sea - Break bulk - Methanol</c:v>
                  </c:pt>
                  <c:pt idx="95">
                    <c:v>Road - Liquid bulk - Battery</c:v>
                  </c:pt>
                  <c:pt idx="96">
                    <c:v>Road - Liquid bulk - Diesel</c:v>
                  </c:pt>
                  <c:pt idx="97">
                    <c:v>Road - Container - Battery</c:v>
                  </c:pt>
                  <c:pt idx="98">
                    <c:v>Road - Container - Diesel</c:v>
                  </c:pt>
                  <c:pt idx="99">
                    <c:v>Road - Neon bulk - Diesel</c:v>
                  </c:pt>
                  <c:pt idx="100">
                    <c:v>Road - Neon bulk - Battery</c:v>
                  </c:pt>
                  <c:pt idx="101">
                    <c:v>Road - Liquid bulk - Hydrogen</c:v>
                  </c:pt>
                  <c:pt idx="102">
                    <c:v>Road - Container - Hydrogen</c:v>
                  </c:pt>
                  <c:pt idx="103">
                    <c:v>Road - Neon bulk - Hydrogen</c:v>
                  </c:pt>
                  <c:pt idx="104">
                    <c:v>Road - Break bulk - Diesel</c:v>
                  </c:pt>
                  <c:pt idx="105">
                    <c:v>Road - Break bulk - Battery</c:v>
                  </c:pt>
                  <c:pt idx="106">
                    <c:v>Road - Break bulk - Hydrogen</c:v>
                  </c:pt>
                  <c:pt idx="107">
                    <c:v>Road - Dry bulk - Diesel</c:v>
                  </c:pt>
                  <c:pt idx="108">
                    <c:v>Road - Dry bulk - Battery</c:v>
                  </c:pt>
                  <c:pt idx="109">
                    <c:v>Road - Dry bulk - Hydrogen</c:v>
                  </c:pt>
                  <c:pt idx="110">
                    <c:v>Sea - Neon bulk - Heavy fuel oil</c:v>
                  </c:pt>
                  <c:pt idx="111">
                    <c:v>Sea - Dry bulk - Heavy fuel oil</c:v>
                  </c:pt>
                  <c:pt idx="112">
                    <c:v>Sea - Neon bulk - Maritime gas oil</c:v>
                  </c:pt>
                  <c:pt idx="113">
                    <c:v>Sea - Dry bulk - Maritime gas oil</c:v>
                  </c:pt>
                  <c:pt idx="114">
                    <c:v>Sea - Neon bulk - Ammoina</c:v>
                  </c:pt>
                  <c:pt idx="115">
                    <c:v>Sea - Dry bulk - Ammonia</c:v>
                  </c:pt>
                  <c:pt idx="116">
                    <c:v>Rail - Dry bulk - Catenary</c:v>
                  </c:pt>
                  <c:pt idx="117">
                    <c:v>Sea - Neon bulk - Hydrogen</c:v>
                  </c:pt>
                  <c:pt idx="118">
                    <c:v>Sea - Dry bulk - Hydrogen</c:v>
                  </c:pt>
                  <c:pt idx="119">
                    <c:v>Rail - Dry bulk - Hydrogen</c:v>
                  </c:pt>
                  <c:pt idx="120">
                    <c:v>Sea - Container - Heavy fuel oil</c:v>
                  </c:pt>
                  <c:pt idx="121">
                    <c:v>Rail - Dry bulk - Battery</c:v>
                  </c:pt>
                  <c:pt idx="122">
                    <c:v>Sea - Break bulk - Heavy fuel oil</c:v>
                  </c:pt>
                  <c:pt idx="123">
                    <c:v>Sea - Container - Maritime gas oil</c:v>
                  </c:pt>
                  <c:pt idx="124">
                    <c:v>Sea - Break bulk - Maritime gas oil</c:v>
                  </c:pt>
                  <c:pt idx="125">
                    <c:v>Sea - Container - Ammonia</c:v>
                  </c:pt>
                  <c:pt idx="126">
                    <c:v>Sea - Container - Hydrogen</c:v>
                  </c:pt>
                  <c:pt idx="127">
                    <c:v>Sea - Neon bulk - Methanol</c:v>
                  </c:pt>
                  <c:pt idx="128">
                    <c:v>Sea - Dry bulk - Methanol</c:v>
                  </c:pt>
                  <c:pt idx="129">
                    <c:v>Sea - Break bulk - Ammonia</c:v>
                  </c:pt>
                  <c:pt idx="130">
                    <c:v>Sea - Break bulk - Hydrogen</c:v>
                  </c:pt>
                  <c:pt idx="131">
                    <c:v>Rail - Dry bulk - Diesel</c:v>
                  </c:pt>
                  <c:pt idx="132">
                    <c:v>Rail - Break bulk - Catenary</c:v>
                  </c:pt>
                  <c:pt idx="133">
                    <c:v>Rail - Container - Catenary</c:v>
                  </c:pt>
                  <c:pt idx="134">
                    <c:v>Rail - Break bulk - Hydrogen</c:v>
                  </c:pt>
                  <c:pt idx="135">
                    <c:v>Rail - Container - Hydrogen</c:v>
                  </c:pt>
                  <c:pt idx="136">
                    <c:v>Rail - Neon bulk - Catenary</c:v>
                  </c:pt>
                  <c:pt idx="137">
                    <c:v>Rail - Break bulk - Battery</c:v>
                  </c:pt>
                  <c:pt idx="138">
                    <c:v>Rail - Liquid bulk - Catenary</c:v>
                  </c:pt>
                  <c:pt idx="139">
                    <c:v>Rail - Neon bulk - Hydrogen</c:v>
                  </c:pt>
                  <c:pt idx="140">
                    <c:v>Rail - Container - Battery</c:v>
                  </c:pt>
                  <c:pt idx="141">
                    <c:v>Sea - Container - Methanol</c:v>
                  </c:pt>
                  <c:pt idx="142">
                    <c:v>Rail - Liquid bulk - Hydrogen</c:v>
                  </c:pt>
                  <c:pt idx="143">
                    <c:v>Rail - Neon bulk - Battery</c:v>
                  </c:pt>
                  <c:pt idx="144">
                    <c:v>Sea - Break bulk - Methanol</c:v>
                  </c:pt>
                  <c:pt idx="145">
                    <c:v>Rail - Liquid bulk - Battery</c:v>
                  </c:pt>
                  <c:pt idx="146">
                    <c:v>Rail - Break bulk - Diesel</c:v>
                  </c:pt>
                  <c:pt idx="147">
                    <c:v>Rail - Container - Diesel</c:v>
                  </c:pt>
                  <c:pt idx="148">
                    <c:v>Rail - Neon bulk - Diesel</c:v>
                  </c:pt>
                  <c:pt idx="149">
                    <c:v>Rail - Liquid bulk - Diesel</c:v>
                  </c:pt>
                  <c:pt idx="150">
                    <c:v>Road - Liquid bulk - Battery</c:v>
                  </c:pt>
                  <c:pt idx="151">
                    <c:v>Road - Container - Battery</c:v>
                  </c:pt>
                  <c:pt idx="152">
                    <c:v>Road - Liquid bulk - Diesel</c:v>
                  </c:pt>
                  <c:pt idx="153">
                    <c:v>Road - Liquid bulk - Hydrogen</c:v>
                  </c:pt>
                  <c:pt idx="154">
                    <c:v>Road - Container - Diesel</c:v>
                  </c:pt>
                  <c:pt idx="155">
                    <c:v>Road - Container - Hydrogen</c:v>
                  </c:pt>
                  <c:pt idx="156">
                    <c:v>Road - Neon bulk - Battery</c:v>
                  </c:pt>
                  <c:pt idx="157">
                    <c:v>Road - Neon bulk - Diesel</c:v>
                  </c:pt>
                  <c:pt idx="158">
                    <c:v>Road - Neon bulk - Hydrogen</c:v>
                  </c:pt>
                  <c:pt idx="159">
                    <c:v>Road - Break bulk - Battery</c:v>
                  </c:pt>
                  <c:pt idx="160">
                    <c:v>Road - Break bulk - Diesel</c:v>
                  </c:pt>
                  <c:pt idx="161">
                    <c:v>Road - Break bulk - Hydrogen</c:v>
                  </c:pt>
                  <c:pt idx="162">
                    <c:v>Road - Dry bulk - Battery</c:v>
                  </c:pt>
                  <c:pt idx="163">
                    <c:v>Road - Dry bulk - Diesel</c:v>
                  </c:pt>
                  <c:pt idx="164">
                    <c:v>Road - Dry bulk - Hydrogen</c:v>
                  </c:pt>
                </c:lvl>
                <c:lvl>
                  <c:pt idx="0">
                    <c:v>2023</c:v>
                  </c:pt>
                  <c:pt idx="55">
                    <c:v>2034</c:v>
                  </c:pt>
                  <c:pt idx="110">
                    <c:v>2050</c:v>
                  </c:pt>
                </c:lvl>
              </c:multiLvlStrCache>
            </c:multiLvlStrRef>
          </c:cat>
          <c:val>
            <c:numRef>
              <c:f>FIGURES!$D$398:$D$562</c:f>
              <c:numCache>
                <c:formatCode>General</c:formatCode>
                <c:ptCount val="165"/>
                <c:pt idx="0">
                  <c:v>-1.0336086682377807E-4</c:v>
                </c:pt>
                <c:pt idx="1">
                  <c:v>-1.0336086682377807E-4</c:v>
                </c:pt>
                <c:pt idx="2">
                  <c:v>-1.0336086682377807E-4</c:v>
                </c:pt>
                <c:pt idx="3">
                  <c:v>-1.0336086682377807E-4</c:v>
                </c:pt>
                <c:pt idx="4">
                  <c:v>-1.6353645891516245E-4</c:v>
                </c:pt>
                <c:pt idx="5">
                  <c:v>-1.0336086682377807E-4</c:v>
                </c:pt>
                <c:pt idx="6">
                  <c:v>-1.0336086682377807E-4</c:v>
                </c:pt>
                <c:pt idx="7">
                  <c:v>-1.0336086682377807E-4</c:v>
                </c:pt>
                <c:pt idx="8">
                  <c:v>-1.0336086682377807E-4</c:v>
                </c:pt>
                <c:pt idx="9">
                  <c:v>-1.1346797345547289E-4</c:v>
                </c:pt>
                <c:pt idx="10">
                  <c:v>-1.6353645891516245E-4</c:v>
                </c:pt>
                <c:pt idx="11">
                  <c:v>-1.1028374067486764E-4</c:v>
                </c:pt>
                <c:pt idx="12">
                  <c:v>-1.6353645891516245E-4</c:v>
                </c:pt>
                <c:pt idx="13">
                  <c:v>-1.3082916713212997E-4</c:v>
                </c:pt>
                <c:pt idx="14">
                  <c:v>-1.6353645891516245E-4</c:v>
                </c:pt>
                <c:pt idx="15">
                  <c:v>-1.1346797345547289E-4</c:v>
                </c:pt>
                <c:pt idx="16">
                  <c:v>-1.0351994625618128E-4</c:v>
                </c:pt>
                <c:pt idx="17">
                  <c:v>-1.0351994625618128E-4</c:v>
                </c:pt>
                <c:pt idx="18">
                  <c:v>-1.1028374067486764E-4</c:v>
                </c:pt>
                <c:pt idx="19">
                  <c:v>-1.0931217673919614E-4</c:v>
                </c:pt>
                <c:pt idx="20">
                  <c:v>-1.0354267188938173E-4</c:v>
                </c:pt>
                <c:pt idx="21">
                  <c:v>-1.0354267188938173E-4</c:v>
                </c:pt>
                <c:pt idx="22">
                  <c:v>-1.1346797345547289E-4</c:v>
                </c:pt>
                <c:pt idx="23">
                  <c:v>-9.0774378764378309E-5</c:v>
                </c:pt>
                <c:pt idx="24">
                  <c:v>-1.1028374067486764E-4</c:v>
                </c:pt>
                <c:pt idx="25">
                  <c:v>-1.1346797345547289E-4</c:v>
                </c:pt>
                <c:pt idx="26">
                  <c:v>-1.0351994625618128E-4</c:v>
                </c:pt>
                <c:pt idx="27">
                  <c:v>-1.0931217673919614E-4</c:v>
                </c:pt>
                <c:pt idx="28">
                  <c:v>-8.822699253989411E-5</c:v>
                </c:pt>
                <c:pt idx="29">
                  <c:v>-1.1028374067486764E-4</c:v>
                </c:pt>
                <c:pt idx="30">
                  <c:v>-1.0351994625618128E-4</c:v>
                </c:pt>
                <c:pt idx="31">
                  <c:v>-1.0354267188938173E-4</c:v>
                </c:pt>
                <c:pt idx="32">
                  <c:v>-1.0354267188938173E-4</c:v>
                </c:pt>
                <c:pt idx="33">
                  <c:v>-1.0931217673919614E-4</c:v>
                </c:pt>
                <c:pt idx="34">
                  <c:v>-8.7449741391356912E-5</c:v>
                </c:pt>
                <c:pt idx="35">
                  <c:v>-1.0931217673919614E-4</c:v>
                </c:pt>
                <c:pt idx="36">
                  <c:v>-6.7337961459558828E-5</c:v>
                </c:pt>
                <c:pt idx="37">
                  <c:v>-6.7337961459558828E-5</c:v>
                </c:pt>
                <c:pt idx="38">
                  <c:v>-6.7337961459558828E-5</c:v>
                </c:pt>
                <c:pt idx="39">
                  <c:v>-6.7337961459558828E-5</c:v>
                </c:pt>
                <c:pt idx="40">
                  <c:v>-1.5302033910025385E-3</c:v>
                </c:pt>
                <c:pt idx="41">
                  <c:v>-1.6030702191455165E-3</c:v>
                </c:pt>
                <c:pt idx="42">
                  <c:v>-1.8702485890031025E-3</c:v>
                </c:pt>
                <c:pt idx="43">
                  <c:v>-3.4381985932500987E-3</c:v>
                </c:pt>
                <c:pt idx="44">
                  <c:v>-3.6019223357858176E-3</c:v>
                </c:pt>
                <c:pt idx="45">
                  <c:v>-2.157979141157426E-3</c:v>
                </c:pt>
                <c:pt idx="46">
                  <c:v>-4.2022427250834543E-3</c:v>
                </c:pt>
                <c:pt idx="47">
                  <c:v>-3.3814651137286521E-3</c:v>
                </c:pt>
                <c:pt idx="48">
                  <c:v>-3.5424872620014453E-3</c:v>
                </c:pt>
                <c:pt idx="49">
                  <c:v>-4.8487416058655246E-3</c:v>
                </c:pt>
                <c:pt idx="50">
                  <c:v>-4.1329018056683528E-3</c:v>
                </c:pt>
                <c:pt idx="51">
                  <c:v>-3.0604067820050769E-3</c:v>
                </c:pt>
                <c:pt idx="52">
                  <c:v>-4.7687328526942532E-3</c:v>
                </c:pt>
                <c:pt idx="53">
                  <c:v>-6.8763971865001975E-3</c:v>
                </c:pt>
                <c:pt idx="54">
                  <c:v>-6.7629302274573042E-3</c:v>
                </c:pt>
                <c:pt idx="55">
                  <c:v>-9.7956440009122124E-5</c:v>
                </c:pt>
                <c:pt idx="56">
                  <c:v>-9.7956440009122124E-5</c:v>
                </c:pt>
                <c:pt idx="57">
                  <c:v>-1.6353645891516245E-4</c:v>
                </c:pt>
                <c:pt idx="58">
                  <c:v>-9.7956440009122124E-5</c:v>
                </c:pt>
                <c:pt idx="59">
                  <c:v>-9.7956440009122124E-5</c:v>
                </c:pt>
                <c:pt idx="60">
                  <c:v>-9.7956440009122124E-5</c:v>
                </c:pt>
                <c:pt idx="61">
                  <c:v>-9.7956440009122124E-5</c:v>
                </c:pt>
                <c:pt idx="62">
                  <c:v>-9.7956440009122124E-5</c:v>
                </c:pt>
                <c:pt idx="63">
                  <c:v>-1.5096790045692366E-4</c:v>
                </c:pt>
                <c:pt idx="64">
                  <c:v>-9.7956440009122124E-5</c:v>
                </c:pt>
                <c:pt idx="65">
                  <c:v>-8.0920645629828101E-5</c:v>
                </c:pt>
                <c:pt idx="66">
                  <c:v>-1.6353645891516245E-4</c:v>
                </c:pt>
                <c:pt idx="67">
                  <c:v>-1.6353645891516245E-4</c:v>
                </c:pt>
                <c:pt idx="68">
                  <c:v>-1.1861141326080898E-4</c:v>
                </c:pt>
                <c:pt idx="69">
                  <c:v>-1.3082916713212997E-4</c:v>
                </c:pt>
                <c:pt idx="70">
                  <c:v>-1.0568171698204363E-4</c:v>
                </c:pt>
                <c:pt idx="71">
                  <c:v>-1.0568171698204363E-4</c:v>
                </c:pt>
                <c:pt idx="72">
                  <c:v>-1.6353645891516245E-4</c:v>
                </c:pt>
                <c:pt idx="73">
                  <c:v>-1.067853279781753E-4</c:v>
                </c:pt>
                <c:pt idx="74">
                  <c:v>-1.067853279781753E-4</c:v>
                </c:pt>
                <c:pt idx="75">
                  <c:v>-1.5096790045692366E-4</c:v>
                </c:pt>
                <c:pt idx="76">
                  <c:v>-8.0920645629828101E-5</c:v>
                </c:pt>
                <c:pt idx="77">
                  <c:v>-1.1861141326080898E-4</c:v>
                </c:pt>
                <c:pt idx="78">
                  <c:v>-1.5096790045692366E-4</c:v>
                </c:pt>
                <c:pt idx="79">
                  <c:v>-1.0568171698204363E-4</c:v>
                </c:pt>
                <c:pt idx="80">
                  <c:v>-1.2077432036553891E-4</c:v>
                </c:pt>
                <c:pt idx="81">
                  <c:v>-1.067853279781753E-4</c:v>
                </c:pt>
                <c:pt idx="82">
                  <c:v>-8.0920645629828101E-5</c:v>
                </c:pt>
                <c:pt idx="83">
                  <c:v>-1.5096790045692366E-4</c:v>
                </c:pt>
                <c:pt idx="84">
                  <c:v>-1.0568171698204363E-4</c:v>
                </c:pt>
                <c:pt idx="85">
                  <c:v>-6.4736516503862478E-5</c:v>
                </c:pt>
                <c:pt idx="86">
                  <c:v>-8.0920645629828101E-5</c:v>
                </c:pt>
                <c:pt idx="87">
                  <c:v>-1.067853279781753E-4</c:v>
                </c:pt>
                <c:pt idx="88">
                  <c:v>-1.1861141326080898E-4</c:v>
                </c:pt>
                <c:pt idx="89">
                  <c:v>-9.4889130608647181E-5</c:v>
                </c:pt>
                <c:pt idx="90">
                  <c:v>-7.1121060229817985E-5</c:v>
                </c:pt>
                <c:pt idx="91">
                  <c:v>-7.1121060229817985E-5</c:v>
                </c:pt>
                <c:pt idx="92">
                  <c:v>-1.1861141326080898E-4</c:v>
                </c:pt>
                <c:pt idx="93">
                  <c:v>-7.1121060229817985E-5</c:v>
                </c:pt>
                <c:pt idx="94">
                  <c:v>-7.1121060229817985E-5</c:v>
                </c:pt>
                <c:pt idx="95">
                  <c:v>-2.4161598044969133E-3</c:v>
                </c:pt>
                <c:pt idx="96">
                  <c:v>-1.3054394682679949E-3</c:v>
                </c:pt>
                <c:pt idx="97">
                  <c:v>-2.5312150332824808E-3</c:v>
                </c:pt>
                <c:pt idx="98">
                  <c:v>-1.3676032524712327E-3</c:v>
                </c:pt>
                <c:pt idx="99">
                  <c:v>-1.5955371278831049E-3</c:v>
                </c:pt>
                <c:pt idx="100">
                  <c:v>-2.9530842054962272E-3</c:v>
                </c:pt>
                <c:pt idx="101">
                  <c:v>-2.5975276068232966E-3</c:v>
                </c:pt>
                <c:pt idx="102">
                  <c:v>-2.721219397624406E-3</c:v>
                </c:pt>
                <c:pt idx="103">
                  <c:v>-3.1747559638951399E-3</c:v>
                </c:pt>
                <c:pt idx="104">
                  <c:v>-1.8410043783266593E-3</c:v>
                </c:pt>
                <c:pt idx="105">
                  <c:v>-3.4074048524956467E-3</c:v>
                </c:pt>
                <c:pt idx="106">
                  <c:v>-3.6631799583405462E-3</c:v>
                </c:pt>
                <c:pt idx="107">
                  <c:v>-2.6108789365359899E-3</c:v>
                </c:pt>
                <c:pt idx="108">
                  <c:v>-4.8323196089938266E-3</c:v>
                </c:pt>
                <c:pt idx="109">
                  <c:v>-5.1950552136465931E-3</c:v>
                </c:pt>
                <c:pt idx="110">
                  <c:v>-5.2575506979843073E-5</c:v>
                </c:pt>
                <c:pt idx="111">
                  <c:v>-5.2575506979843073E-5</c:v>
                </c:pt>
                <c:pt idx="112">
                  <c:v>-5.2575506979843073E-5</c:v>
                </c:pt>
                <c:pt idx="113">
                  <c:v>-5.2575506979843073E-5</c:v>
                </c:pt>
                <c:pt idx="114">
                  <c:v>-1.2383409019375524E-4</c:v>
                </c:pt>
                <c:pt idx="115">
                  <c:v>-1.2383409019375524E-4</c:v>
                </c:pt>
                <c:pt idx="116">
                  <c:v>-1.6353645891516245E-4</c:v>
                </c:pt>
                <c:pt idx="117">
                  <c:v>-1.3401388779574273E-4</c:v>
                </c:pt>
                <c:pt idx="118">
                  <c:v>-1.3401388779574273E-4</c:v>
                </c:pt>
                <c:pt idx="119">
                  <c:v>-1.3078063744341263E-4</c:v>
                </c:pt>
                <c:pt idx="120">
                  <c:v>-5.2575506979843073E-5</c:v>
                </c:pt>
                <c:pt idx="121">
                  <c:v>-2.0420825625581466E-4</c:v>
                </c:pt>
                <c:pt idx="122">
                  <c:v>-5.2575506979843073E-5</c:v>
                </c:pt>
                <c:pt idx="123">
                  <c:v>-5.2575506979843073E-5</c:v>
                </c:pt>
                <c:pt idx="124">
                  <c:v>-5.2575506979843073E-5</c:v>
                </c:pt>
                <c:pt idx="125">
                  <c:v>-1.2383409019375524E-4</c:v>
                </c:pt>
                <c:pt idx="126">
                  <c:v>-1.3401388779574273E-4</c:v>
                </c:pt>
                <c:pt idx="127">
                  <c:v>-1.0288771335031333E-4</c:v>
                </c:pt>
                <c:pt idx="128">
                  <c:v>-1.0288771335031333E-4</c:v>
                </c:pt>
                <c:pt idx="129">
                  <c:v>-1.2383409019375524E-4</c:v>
                </c:pt>
                <c:pt idx="130">
                  <c:v>-1.3401388779574273E-4</c:v>
                </c:pt>
                <c:pt idx="131">
                  <c:v>-3.832836099071531E-5</c:v>
                </c:pt>
                <c:pt idx="132">
                  <c:v>-1.6353645891516245E-4</c:v>
                </c:pt>
                <c:pt idx="133">
                  <c:v>-1.6353645891516245E-4</c:v>
                </c:pt>
                <c:pt idx="134">
                  <c:v>-1.3078063744341263E-4</c:v>
                </c:pt>
                <c:pt idx="135">
                  <c:v>-1.3078063744341263E-4</c:v>
                </c:pt>
                <c:pt idx="136">
                  <c:v>-1.3082916713212997E-4</c:v>
                </c:pt>
                <c:pt idx="137">
                  <c:v>-2.0420825625581466E-4</c:v>
                </c:pt>
                <c:pt idx="138">
                  <c:v>-1.6353645891516245E-4</c:v>
                </c:pt>
                <c:pt idx="139">
                  <c:v>-1.046245099547301E-4</c:v>
                </c:pt>
                <c:pt idx="140">
                  <c:v>-2.0420825625581466E-4</c:v>
                </c:pt>
                <c:pt idx="141">
                  <c:v>-1.0288771335031333E-4</c:v>
                </c:pt>
                <c:pt idx="142">
                  <c:v>-1.3078063744341263E-4</c:v>
                </c:pt>
                <c:pt idx="143">
                  <c:v>-1.6336660500465173E-4</c:v>
                </c:pt>
                <c:pt idx="144">
                  <c:v>-1.0288771335031333E-4</c:v>
                </c:pt>
                <c:pt idx="145">
                  <c:v>-2.0420825625581466E-4</c:v>
                </c:pt>
                <c:pt idx="146">
                  <c:v>-3.832836099071531E-5</c:v>
                </c:pt>
                <c:pt idx="147">
                  <c:v>-3.832836099071531E-5</c:v>
                </c:pt>
                <c:pt idx="148">
                  <c:v>-3.0662688792572247E-5</c:v>
                </c:pt>
                <c:pt idx="149">
                  <c:v>-3.832836099071531E-5</c:v>
                </c:pt>
                <c:pt idx="150">
                  <c:v>-2.1233726283419697E-3</c:v>
                </c:pt>
                <c:pt idx="151">
                  <c:v>-2.2244856106439686E-3</c:v>
                </c:pt>
                <c:pt idx="152">
                  <c:v>-1.0113075190954952E-3</c:v>
                </c:pt>
                <c:pt idx="153">
                  <c:v>-2.2699193820295231E-3</c:v>
                </c:pt>
                <c:pt idx="154">
                  <c:v>-1.0594650200048046E-3</c:v>
                </c:pt>
                <c:pt idx="155">
                  <c:v>-2.3780107811737857E-3</c:v>
                </c:pt>
                <c:pt idx="156">
                  <c:v>-2.5952332124179632E-3</c:v>
                </c:pt>
                <c:pt idx="157">
                  <c:v>-1.2360425233389387E-3</c:v>
                </c:pt>
                <c:pt idx="158">
                  <c:v>-2.7743459113694167E-3</c:v>
                </c:pt>
                <c:pt idx="159">
                  <c:v>-2.9944998604822652E-3</c:v>
                </c:pt>
                <c:pt idx="160">
                  <c:v>-1.4262029115449293E-3</c:v>
                </c:pt>
                <c:pt idx="161">
                  <c:v>-3.2011683592724038E-3</c:v>
                </c:pt>
                <c:pt idx="162">
                  <c:v>-4.2467452566839394E-3</c:v>
                </c:pt>
                <c:pt idx="163">
                  <c:v>-2.0226150381909905E-3</c:v>
                </c:pt>
                <c:pt idx="164">
                  <c:v>-4.5398387640590461E-3</c:v>
                </c:pt>
              </c:numCache>
            </c:numRef>
          </c:val>
          <c:extLst>
            <c:ext xmlns:c16="http://schemas.microsoft.com/office/drawing/2014/chart" uri="{C3380CC4-5D6E-409C-BE32-E72D297353CC}">
              <c16:uniqueId val="{00000001-F45C-465E-A516-77C650081690}"/>
            </c:ext>
          </c:extLst>
        </c:ser>
        <c:ser>
          <c:idx val="2"/>
          <c:order val="2"/>
          <c:tx>
            <c:strRef>
              <c:f>FIGURES!$E$397</c:f>
              <c:strCache>
                <c:ptCount val="1"/>
                <c:pt idx="0">
                  <c:v>Capex costumization</c:v>
                </c:pt>
              </c:strCache>
            </c:strRef>
          </c:tx>
          <c:spPr>
            <a:solidFill>
              <a:schemeClr val="accent3"/>
            </a:solidFill>
            <a:ln>
              <a:noFill/>
            </a:ln>
            <a:effectLst/>
          </c:spPr>
          <c:invertIfNegative val="0"/>
          <c:cat>
            <c:multiLvlStrRef>
              <c:f>FIGURES!$A$398:$B$562</c:f>
              <c:multiLvlStrCache>
                <c:ptCount val="165"/>
                <c:lvl>
                  <c:pt idx="0">
                    <c:v>Sea - Neon bulk - Heavy fuel oil</c:v>
                  </c:pt>
                  <c:pt idx="1">
                    <c:v>Sea - Dry bulk - Heavy fuel oil</c:v>
                  </c:pt>
                  <c:pt idx="2">
                    <c:v>Sea - Container - Heavy fuel oil</c:v>
                  </c:pt>
                  <c:pt idx="3">
                    <c:v>Sea - Break bulk - Heavy fuel oil</c:v>
                  </c:pt>
                  <c:pt idx="4">
                    <c:v>Rail - Dry bulk - Catenary</c:v>
                  </c:pt>
                  <c:pt idx="5">
                    <c:v>Sea - Neon bulk - Maritime gas oil</c:v>
                  </c:pt>
                  <c:pt idx="6">
                    <c:v>Sea - Dry bulk - Maritime gas oil</c:v>
                  </c:pt>
                  <c:pt idx="7">
                    <c:v>Sea - Container - Maritime gas oil</c:v>
                  </c:pt>
                  <c:pt idx="8">
                    <c:v>Sea - Break bulk - Maritime gas oil</c:v>
                  </c:pt>
                  <c:pt idx="9">
                    <c:v>Rail - Dry bulk - Diesel</c:v>
                  </c:pt>
                  <c:pt idx="10">
                    <c:v>Rail - Break bulk - Catenary</c:v>
                  </c:pt>
                  <c:pt idx="11">
                    <c:v>Rail - Dry bulk - Battery</c:v>
                  </c:pt>
                  <c:pt idx="12">
                    <c:v>Rail - Container - Catenary</c:v>
                  </c:pt>
                  <c:pt idx="13">
                    <c:v>Rail - Neon bulk - Catenary</c:v>
                  </c:pt>
                  <c:pt idx="14">
                    <c:v>Rail - Liquid bulk - Catenary</c:v>
                  </c:pt>
                  <c:pt idx="15">
                    <c:v>Rail - Break bulk - Diesel</c:v>
                  </c:pt>
                  <c:pt idx="16">
                    <c:v>Sea - Neon bulk - Ammoina</c:v>
                  </c:pt>
                  <c:pt idx="17">
                    <c:v>Sea - Dry bulk - Ammonia</c:v>
                  </c:pt>
                  <c:pt idx="18">
                    <c:v>Rail - Break bulk - Battery</c:v>
                  </c:pt>
                  <c:pt idx="19">
                    <c:v>Rail - Dry bulk - Hydrogen</c:v>
                  </c:pt>
                  <c:pt idx="20">
                    <c:v>Sea - Neon bulk - Hydrogen</c:v>
                  </c:pt>
                  <c:pt idx="21">
                    <c:v>Sea - Dry bulk - Hydrogen</c:v>
                  </c:pt>
                  <c:pt idx="22">
                    <c:v>Rail - Container - Diesel</c:v>
                  </c:pt>
                  <c:pt idx="23">
                    <c:v>Rail - Neon bulk - Diesel</c:v>
                  </c:pt>
                  <c:pt idx="24">
                    <c:v>Rail - Container - Battery</c:v>
                  </c:pt>
                  <c:pt idx="25">
                    <c:v>Rail - Liquid bulk - Diesel</c:v>
                  </c:pt>
                  <c:pt idx="26">
                    <c:v>Sea - Container - Ammonia</c:v>
                  </c:pt>
                  <c:pt idx="27">
                    <c:v>Rail - Break bulk - Hydrogen</c:v>
                  </c:pt>
                  <c:pt idx="28">
                    <c:v>Rail - Neon bulk - Battery</c:v>
                  </c:pt>
                  <c:pt idx="29">
                    <c:v>Rail - Liquid bulk - Battery</c:v>
                  </c:pt>
                  <c:pt idx="30">
                    <c:v>Sea - Break bulk - Ammonia</c:v>
                  </c:pt>
                  <c:pt idx="31">
                    <c:v>Sea - Container - Hydrogen</c:v>
                  </c:pt>
                  <c:pt idx="32">
                    <c:v>Sea - Break bulk - Hydrogen</c:v>
                  </c:pt>
                  <c:pt idx="33">
                    <c:v>Rail - Container - Hydrogen</c:v>
                  </c:pt>
                  <c:pt idx="34">
                    <c:v>Rail - Neon bulk - Hydrogen</c:v>
                  </c:pt>
                  <c:pt idx="35">
                    <c:v>Rail - Liquid bulk - Hydrogen</c:v>
                  </c:pt>
                  <c:pt idx="36">
                    <c:v>Sea - Neon bulk - Methanol</c:v>
                  </c:pt>
                  <c:pt idx="37">
                    <c:v>Sea - Dry bulk - Methanol</c:v>
                  </c:pt>
                  <c:pt idx="38">
                    <c:v>Sea - Container - Methanol</c:v>
                  </c:pt>
                  <c:pt idx="39">
                    <c:v>Sea - Break bulk - Methanol</c:v>
                  </c:pt>
                  <c:pt idx="40">
                    <c:v>Road - Liquid bulk - Diesel</c:v>
                  </c:pt>
                  <c:pt idx="41">
                    <c:v>Road - Container - Diesel</c:v>
                  </c:pt>
                  <c:pt idx="42">
                    <c:v>Road - Neon bulk - Diesel</c:v>
                  </c:pt>
                  <c:pt idx="43">
                    <c:v>Road - Liquid bulk - Battery</c:v>
                  </c:pt>
                  <c:pt idx="44">
                    <c:v>Road - Container - Battery</c:v>
                  </c:pt>
                  <c:pt idx="45">
                    <c:v>Road - Break bulk - Diesel</c:v>
                  </c:pt>
                  <c:pt idx="46">
                    <c:v>Road - Neon bulk - Battery</c:v>
                  </c:pt>
                  <c:pt idx="47">
                    <c:v>Road - Liquid bulk - Hydrogen</c:v>
                  </c:pt>
                  <c:pt idx="48">
                    <c:v>Road - Container - Hydrogen</c:v>
                  </c:pt>
                  <c:pt idx="49">
                    <c:v>Road - Break bulk - Battery</c:v>
                  </c:pt>
                  <c:pt idx="50">
                    <c:v>Road - Neon bulk - Hydrogen</c:v>
                  </c:pt>
                  <c:pt idx="51">
                    <c:v>Road - Dry bulk - Diesel</c:v>
                  </c:pt>
                  <c:pt idx="52">
                    <c:v>Road - Break bulk - Hydrogen</c:v>
                  </c:pt>
                  <c:pt idx="53">
                    <c:v>Road - Dry bulk - Battery</c:v>
                  </c:pt>
                  <c:pt idx="54">
                    <c:v>Road - Dry bulk - Hydrogen</c:v>
                  </c:pt>
                  <c:pt idx="55">
                    <c:v>Sea - Neon bulk - Heavy fuel oil</c:v>
                  </c:pt>
                  <c:pt idx="56">
                    <c:v>Sea - Dry bulk - Heavy fuel oil</c:v>
                  </c:pt>
                  <c:pt idx="57">
                    <c:v>Rail - Dry bulk - Catenary</c:v>
                  </c:pt>
                  <c:pt idx="58">
                    <c:v>Sea - Neon bulk - Maritime gas oil</c:v>
                  </c:pt>
                  <c:pt idx="59">
                    <c:v>Sea - Dry bulk - Maritime gas oil</c:v>
                  </c:pt>
                  <c:pt idx="60">
                    <c:v>Sea - Container - Heavy fuel oil</c:v>
                  </c:pt>
                  <c:pt idx="61">
                    <c:v>Sea - Break bulk - Heavy fuel oil</c:v>
                  </c:pt>
                  <c:pt idx="62">
                    <c:v>Sea - Container - Maritime gas oil</c:v>
                  </c:pt>
                  <c:pt idx="63">
                    <c:v>Rail - Dry bulk - Battery</c:v>
                  </c:pt>
                  <c:pt idx="64">
                    <c:v>Sea - Break bulk - Maritime gas oil</c:v>
                  </c:pt>
                  <c:pt idx="65">
                    <c:v>Rail - Dry bulk - Diesel</c:v>
                  </c:pt>
                  <c:pt idx="66">
                    <c:v>Rail - Break bulk - Catenary</c:v>
                  </c:pt>
                  <c:pt idx="67">
                    <c:v>Rail - Container - Catenary</c:v>
                  </c:pt>
                  <c:pt idx="68">
                    <c:v>Rail - Dry bulk - Hydrogen</c:v>
                  </c:pt>
                  <c:pt idx="69">
                    <c:v>Rail - Neon bulk - Catenary</c:v>
                  </c:pt>
                  <c:pt idx="70">
                    <c:v>Sea - Neon bulk - Ammoina</c:v>
                  </c:pt>
                  <c:pt idx="71">
                    <c:v>Sea - Dry bulk - Ammonia</c:v>
                  </c:pt>
                  <c:pt idx="72">
                    <c:v>Rail - Liquid bulk - Catenary</c:v>
                  </c:pt>
                  <c:pt idx="73">
                    <c:v>Sea - Neon bulk - Hydrogen</c:v>
                  </c:pt>
                  <c:pt idx="74">
                    <c:v>Sea - Dry bulk - Hydrogen</c:v>
                  </c:pt>
                  <c:pt idx="75">
                    <c:v>Rail - Break bulk - Battery</c:v>
                  </c:pt>
                  <c:pt idx="76">
                    <c:v>Rail - Break bulk - Diesel</c:v>
                  </c:pt>
                  <c:pt idx="77">
                    <c:v>Rail - Break bulk - Hydrogen</c:v>
                  </c:pt>
                  <c:pt idx="78">
                    <c:v>Rail - Container - Battery</c:v>
                  </c:pt>
                  <c:pt idx="79">
                    <c:v>Sea - Container - Ammonia</c:v>
                  </c:pt>
                  <c:pt idx="80">
                    <c:v>Rail - Neon bulk - Battery</c:v>
                  </c:pt>
                  <c:pt idx="81">
                    <c:v>Sea - Container - Hydrogen</c:v>
                  </c:pt>
                  <c:pt idx="82">
                    <c:v>Rail - Container - Diesel</c:v>
                  </c:pt>
                  <c:pt idx="83">
                    <c:v>Rail - Liquid bulk - Battery</c:v>
                  </c:pt>
                  <c:pt idx="84">
                    <c:v>Sea - Break bulk - Ammonia</c:v>
                  </c:pt>
                  <c:pt idx="85">
                    <c:v>Rail - Neon bulk - Diesel</c:v>
                  </c:pt>
                  <c:pt idx="86">
                    <c:v>Rail - Liquid bulk - Diesel</c:v>
                  </c:pt>
                  <c:pt idx="87">
                    <c:v>Sea - Break bulk - Hydrogen</c:v>
                  </c:pt>
                  <c:pt idx="88">
                    <c:v>Rail - Container - Hydrogen</c:v>
                  </c:pt>
                  <c:pt idx="89">
                    <c:v>Rail - Neon bulk - Hydrogen</c:v>
                  </c:pt>
                  <c:pt idx="90">
                    <c:v>Sea - Neon bulk - Methanol</c:v>
                  </c:pt>
                  <c:pt idx="91">
                    <c:v>Sea - Dry bulk - Methanol</c:v>
                  </c:pt>
                  <c:pt idx="92">
                    <c:v>Rail - Liquid bulk - Hydrogen</c:v>
                  </c:pt>
                  <c:pt idx="93">
                    <c:v>Sea - Container - Methanol</c:v>
                  </c:pt>
                  <c:pt idx="94">
                    <c:v>Sea - Break bulk - Methanol</c:v>
                  </c:pt>
                  <c:pt idx="95">
                    <c:v>Road - Liquid bulk - Battery</c:v>
                  </c:pt>
                  <c:pt idx="96">
                    <c:v>Road - Liquid bulk - Diesel</c:v>
                  </c:pt>
                  <c:pt idx="97">
                    <c:v>Road - Container - Battery</c:v>
                  </c:pt>
                  <c:pt idx="98">
                    <c:v>Road - Container - Diesel</c:v>
                  </c:pt>
                  <c:pt idx="99">
                    <c:v>Road - Neon bulk - Diesel</c:v>
                  </c:pt>
                  <c:pt idx="100">
                    <c:v>Road - Neon bulk - Battery</c:v>
                  </c:pt>
                  <c:pt idx="101">
                    <c:v>Road - Liquid bulk - Hydrogen</c:v>
                  </c:pt>
                  <c:pt idx="102">
                    <c:v>Road - Container - Hydrogen</c:v>
                  </c:pt>
                  <c:pt idx="103">
                    <c:v>Road - Neon bulk - Hydrogen</c:v>
                  </c:pt>
                  <c:pt idx="104">
                    <c:v>Road - Break bulk - Diesel</c:v>
                  </c:pt>
                  <c:pt idx="105">
                    <c:v>Road - Break bulk - Battery</c:v>
                  </c:pt>
                  <c:pt idx="106">
                    <c:v>Road - Break bulk - Hydrogen</c:v>
                  </c:pt>
                  <c:pt idx="107">
                    <c:v>Road - Dry bulk - Diesel</c:v>
                  </c:pt>
                  <c:pt idx="108">
                    <c:v>Road - Dry bulk - Battery</c:v>
                  </c:pt>
                  <c:pt idx="109">
                    <c:v>Road - Dry bulk - Hydrogen</c:v>
                  </c:pt>
                  <c:pt idx="110">
                    <c:v>Sea - Neon bulk - Heavy fuel oil</c:v>
                  </c:pt>
                  <c:pt idx="111">
                    <c:v>Sea - Dry bulk - Heavy fuel oil</c:v>
                  </c:pt>
                  <c:pt idx="112">
                    <c:v>Sea - Neon bulk - Maritime gas oil</c:v>
                  </c:pt>
                  <c:pt idx="113">
                    <c:v>Sea - Dry bulk - Maritime gas oil</c:v>
                  </c:pt>
                  <c:pt idx="114">
                    <c:v>Sea - Neon bulk - Ammoina</c:v>
                  </c:pt>
                  <c:pt idx="115">
                    <c:v>Sea - Dry bulk - Ammonia</c:v>
                  </c:pt>
                  <c:pt idx="116">
                    <c:v>Rail - Dry bulk - Catenary</c:v>
                  </c:pt>
                  <c:pt idx="117">
                    <c:v>Sea - Neon bulk - Hydrogen</c:v>
                  </c:pt>
                  <c:pt idx="118">
                    <c:v>Sea - Dry bulk - Hydrogen</c:v>
                  </c:pt>
                  <c:pt idx="119">
                    <c:v>Rail - Dry bulk - Hydrogen</c:v>
                  </c:pt>
                  <c:pt idx="120">
                    <c:v>Sea - Container - Heavy fuel oil</c:v>
                  </c:pt>
                  <c:pt idx="121">
                    <c:v>Rail - Dry bulk - Battery</c:v>
                  </c:pt>
                  <c:pt idx="122">
                    <c:v>Sea - Break bulk - Heavy fuel oil</c:v>
                  </c:pt>
                  <c:pt idx="123">
                    <c:v>Sea - Container - Maritime gas oil</c:v>
                  </c:pt>
                  <c:pt idx="124">
                    <c:v>Sea - Break bulk - Maritime gas oil</c:v>
                  </c:pt>
                  <c:pt idx="125">
                    <c:v>Sea - Container - Ammonia</c:v>
                  </c:pt>
                  <c:pt idx="126">
                    <c:v>Sea - Container - Hydrogen</c:v>
                  </c:pt>
                  <c:pt idx="127">
                    <c:v>Sea - Neon bulk - Methanol</c:v>
                  </c:pt>
                  <c:pt idx="128">
                    <c:v>Sea - Dry bulk - Methanol</c:v>
                  </c:pt>
                  <c:pt idx="129">
                    <c:v>Sea - Break bulk - Ammonia</c:v>
                  </c:pt>
                  <c:pt idx="130">
                    <c:v>Sea - Break bulk - Hydrogen</c:v>
                  </c:pt>
                  <c:pt idx="131">
                    <c:v>Rail - Dry bulk - Diesel</c:v>
                  </c:pt>
                  <c:pt idx="132">
                    <c:v>Rail - Break bulk - Catenary</c:v>
                  </c:pt>
                  <c:pt idx="133">
                    <c:v>Rail - Container - Catenary</c:v>
                  </c:pt>
                  <c:pt idx="134">
                    <c:v>Rail - Break bulk - Hydrogen</c:v>
                  </c:pt>
                  <c:pt idx="135">
                    <c:v>Rail - Container - Hydrogen</c:v>
                  </c:pt>
                  <c:pt idx="136">
                    <c:v>Rail - Neon bulk - Catenary</c:v>
                  </c:pt>
                  <c:pt idx="137">
                    <c:v>Rail - Break bulk - Battery</c:v>
                  </c:pt>
                  <c:pt idx="138">
                    <c:v>Rail - Liquid bulk - Catenary</c:v>
                  </c:pt>
                  <c:pt idx="139">
                    <c:v>Rail - Neon bulk - Hydrogen</c:v>
                  </c:pt>
                  <c:pt idx="140">
                    <c:v>Rail - Container - Battery</c:v>
                  </c:pt>
                  <c:pt idx="141">
                    <c:v>Sea - Container - Methanol</c:v>
                  </c:pt>
                  <c:pt idx="142">
                    <c:v>Rail - Liquid bulk - Hydrogen</c:v>
                  </c:pt>
                  <c:pt idx="143">
                    <c:v>Rail - Neon bulk - Battery</c:v>
                  </c:pt>
                  <c:pt idx="144">
                    <c:v>Sea - Break bulk - Methanol</c:v>
                  </c:pt>
                  <c:pt idx="145">
                    <c:v>Rail - Liquid bulk - Battery</c:v>
                  </c:pt>
                  <c:pt idx="146">
                    <c:v>Rail - Break bulk - Diesel</c:v>
                  </c:pt>
                  <c:pt idx="147">
                    <c:v>Rail - Container - Diesel</c:v>
                  </c:pt>
                  <c:pt idx="148">
                    <c:v>Rail - Neon bulk - Diesel</c:v>
                  </c:pt>
                  <c:pt idx="149">
                    <c:v>Rail - Liquid bulk - Diesel</c:v>
                  </c:pt>
                  <c:pt idx="150">
                    <c:v>Road - Liquid bulk - Battery</c:v>
                  </c:pt>
                  <c:pt idx="151">
                    <c:v>Road - Container - Battery</c:v>
                  </c:pt>
                  <c:pt idx="152">
                    <c:v>Road - Liquid bulk - Diesel</c:v>
                  </c:pt>
                  <c:pt idx="153">
                    <c:v>Road - Liquid bulk - Hydrogen</c:v>
                  </c:pt>
                  <c:pt idx="154">
                    <c:v>Road - Container - Diesel</c:v>
                  </c:pt>
                  <c:pt idx="155">
                    <c:v>Road - Container - Hydrogen</c:v>
                  </c:pt>
                  <c:pt idx="156">
                    <c:v>Road - Neon bulk - Battery</c:v>
                  </c:pt>
                  <c:pt idx="157">
                    <c:v>Road - Neon bulk - Diesel</c:v>
                  </c:pt>
                  <c:pt idx="158">
                    <c:v>Road - Neon bulk - Hydrogen</c:v>
                  </c:pt>
                  <c:pt idx="159">
                    <c:v>Road - Break bulk - Battery</c:v>
                  </c:pt>
                  <c:pt idx="160">
                    <c:v>Road - Break bulk - Diesel</c:v>
                  </c:pt>
                  <c:pt idx="161">
                    <c:v>Road - Break bulk - Hydrogen</c:v>
                  </c:pt>
                  <c:pt idx="162">
                    <c:v>Road - Dry bulk - Battery</c:v>
                  </c:pt>
                  <c:pt idx="163">
                    <c:v>Road - Dry bulk - Diesel</c:v>
                  </c:pt>
                  <c:pt idx="164">
                    <c:v>Road - Dry bulk - Hydrogen</c:v>
                  </c:pt>
                </c:lvl>
                <c:lvl>
                  <c:pt idx="0">
                    <c:v>2023</c:v>
                  </c:pt>
                  <c:pt idx="55">
                    <c:v>2034</c:v>
                  </c:pt>
                  <c:pt idx="110">
                    <c:v>2050</c:v>
                  </c:pt>
                </c:lvl>
              </c:multiLvlStrCache>
            </c:multiLvlStrRef>
          </c:cat>
          <c:val>
            <c:numRef>
              <c:f>FIGURES!$E$398:$E$562</c:f>
              <c:numCache>
                <c:formatCode>General</c:formatCode>
                <c:ptCount val="165"/>
                <c:pt idx="0">
                  <c:v>6.8982996659853576E-5</c:v>
                </c:pt>
                <c:pt idx="1">
                  <c:v>6.8982996659853576E-5</c:v>
                </c:pt>
                <c:pt idx="2">
                  <c:v>3.4491498329926784E-4</c:v>
                </c:pt>
                <c:pt idx="3">
                  <c:v>6.8982996659853576E-5</c:v>
                </c:pt>
                <c:pt idx="4">
                  <c:v>7.6311881817276459E-4</c:v>
                </c:pt>
                <c:pt idx="5">
                  <c:v>6.8982996659853576E-5</c:v>
                </c:pt>
                <c:pt idx="6">
                  <c:v>6.8982996659853576E-5</c:v>
                </c:pt>
                <c:pt idx="7">
                  <c:v>3.4491498329926784E-4</c:v>
                </c:pt>
                <c:pt idx="8">
                  <c:v>6.8982996659853576E-5</c:v>
                </c:pt>
                <c:pt idx="9">
                  <c:v>7.6311881817276459E-4</c:v>
                </c:pt>
                <c:pt idx="10">
                  <c:v>7.6311881817276459E-4</c:v>
                </c:pt>
                <c:pt idx="11">
                  <c:v>7.6311881817276459E-4</c:v>
                </c:pt>
                <c:pt idx="12">
                  <c:v>5.087458787818432E-4</c:v>
                </c:pt>
                <c:pt idx="13">
                  <c:v>5.0874587878184309E-4</c:v>
                </c:pt>
                <c:pt idx="14">
                  <c:v>1.0174917575636864E-3</c:v>
                </c:pt>
                <c:pt idx="15">
                  <c:v>7.6311881817276459E-4</c:v>
                </c:pt>
                <c:pt idx="16">
                  <c:v>6.8982996659853576E-5</c:v>
                </c:pt>
                <c:pt idx="17">
                  <c:v>6.8982996659853576E-5</c:v>
                </c:pt>
                <c:pt idx="18">
                  <c:v>7.6311881817276459E-4</c:v>
                </c:pt>
                <c:pt idx="19">
                  <c:v>7.6311881817276459E-4</c:v>
                </c:pt>
                <c:pt idx="20">
                  <c:v>6.8982996659853576E-5</c:v>
                </c:pt>
                <c:pt idx="21">
                  <c:v>6.8982996659853576E-5</c:v>
                </c:pt>
                <c:pt idx="22">
                  <c:v>5.087458787818432E-4</c:v>
                </c:pt>
                <c:pt idx="23">
                  <c:v>5.0874587878184309E-4</c:v>
                </c:pt>
                <c:pt idx="24">
                  <c:v>5.087458787818432E-4</c:v>
                </c:pt>
                <c:pt idx="25">
                  <c:v>1.0174917575636864E-3</c:v>
                </c:pt>
                <c:pt idx="26">
                  <c:v>3.4491498329926784E-4</c:v>
                </c:pt>
                <c:pt idx="27">
                  <c:v>7.6311881817276459E-4</c:v>
                </c:pt>
                <c:pt idx="28">
                  <c:v>5.0874587878184309E-4</c:v>
                </c:pt>
                <c:pt idx="29">
                  <c:v>1.0174917575636864E-3</c:v>
                </c:pt>
                <c:pt idx="30">
                  <c:v>6.8982996659853576E-5</c:v>
                </c:pt>
                <c:pt idx="31">
                  <c:v>3.4491498329926784E-4</c:v>
                </c:pt>
                <c:pt idx="32">
                  <c:v>6.8982996659853576E-5</c:v>
                </c:pt>
                <c:pt idx="33">
                  <c:v>5.087458787818432E-4</c:v>
                </c:pt>
                <c:pt idx="34">
                  <c:v>5.0874587878184309E-4</c:v>
                </c:pt>
                <c:pt idx="35">
                  <c:v>1.0174917575636864E-3</c:v>
                </c:pt>
                <c:pt idx="36">
                  <c:v>6.8982996659853576E-5</c:v>
                </c:pt>
                <c:pt idx="37">
                  <c:v>6.8982996659853576E-5</c:v>
                </c:pt>
                <c:pt idx="38">
                  <c:v>3.4491498329926784E-4</c:v>
                </c:pt>
                <c:pt idx="39">
                  <c:v>6.8982996659853576E-5</c:v>
                </c:pt>
                <c:pt idx="40">
                  <c:v>2.964391815717463E-3</c:v>
                </c:pt>
                <c:pt idx="41">
                  <c:v>1.552776665375814E-3</c:v>
                </c:pt>
                <c:pt idx="42">
                  <c:v>2.1135015723170798E-3</c:v>
                </c:pt>
                <c:pt idx="43">
                  <c:v>2.964391815717463E-3</c:v>
                </c:pt>
                <c:pt idx="44">
                  <c:v>1.552776665375814E-3</c:v>
                </c:pt>
                <c:pt idx="45">
                  <c:v>2.7870350404181278E-3</c:v>
                </c:pt>
                <c:pt idx="46">
                  <c:v>2.1135015723170798E-3</c:v>
                </c:pt>
                <c:pt idx="47">
                  <c:v>2.964391815717463E-3</c:v>
                </c:pt>
                <c:pt idx="48">
                  <c:v>1.552776665375814E-3</c:v>
                </c:pt>
                <c:pt idx="49">
                  <c:v>2.7870350404181278E-3</c:v>
                </c:pt>
                <c:pt idx="50">
                  <c:v>2.1135015723170798E-3</c:v>
                </c:pt>
                <c:pt idx="51">
                  <c:v>3.9525224209566176E-3</c:v>
                </c:pt>
                <c:pt idx="52">
                  <c:v>2.7870350404181278E-3</c:v>
                </c:pt>
                <c:pt idx="53">
                  <c:v>3.9525224209566176E-3</c:v>
                </c:pt>
                <c:pt idx="54">
                  <c:v>3.9525224209566176E-3</c:v>
                </c:pt>
                <c:pt idx="55">
                  <c:v>6.8982996659853576E-5</c:v>
                </c:pt>
                <c:pt idx="56">
                  <c:v>6.8982996659853576E-5</c:v>
                </c:pt>
                <c:pt idx="57">
                  <c:v>7.6311881817276459E-4</c:v>
                </c:pt>
                <c:pt idx="58">
                  <c:v>6.8982996659853576E-5</c:v>
                </c:pt>
                <c:pt idx="59">
                  <c:v>6.8982996659853576E-5</c:v>
                </c:pt>
                <c:pt idx="60">
                  <c:v>3.4491498329926784E-4</c:v>
                </c:pt>
                <c:pt idx="61">
                  <c:v>6.8982996659853576E-5</c:v>
                </c:pt>
                <c:pt idx="62">
                  <c:v>3.4491498329926784E-4</c:v>
                </c:pt>
                <c:pt idx="63">
                  <c:v>7.6311881817276459E-4</c:v>
                </c:pt>
                <c:pt idx="64">
                  <c:v>6.8982996659853576E-5</c:v>
                </c:pt>
                <c:pt idx="65">
                  <c:v>7.6311881817276459E-4</c:v>
                </c:pt>
                <c:pt idx="66">
                  <c:v>7.6311881817276459E-4</c:v>
                </c:pt>
                <c:pt idx="67">
                  <c:v>5.087458787818432E-4</c:v>
                </c:pt>
                <c:pt idx="68">
                  <c:v>7.6311881817276459E-4</c:v>
                </c:pt>
                <c:pt idx="69">
                  <c:v>5.0874587878184309E-4</c:v>
                </c:pt>
                <c:pt idx="70">
                  <c:v>6.8982996659853576E-5</c:v>
                </c:pt>
                <c:pt idx="71">
                  <c:v>6.8982996659853576E-5</c:v>
                </c:pt>
                <c:pt idx="72">
                  <c:v>1.0174917575636864E-3</c:v>
                </c:pt>
                <c:pt idx="73">
                  <c:v>6.8982996659853576E-5</c:v>
                </c:pt>
                <c:pt idx="74">
                  <c:v>6.8982996659853576E-5</c:v>
                </c:pt>
                <c:pt idx="75">
                  <c:v>7.6311881817276459E-4</c:v>
                </c:pt>
                <c:pt idx="76">
                  <c:v>7.6311881817276459E-4</c:v>
                </c:pt>
                <c:pt idx="77">
                  <c:v>7.6311881817276459E-4</c:v>
                </c:pt>
                <c:pt idx="78">
                  <c:v>5.087458787818432E-4</c:v>
                </c:pt>
                <c:pt idx="79">
                  <c:v>3.4491498329926784E-4</c:v>
                </c:pt>
                <c:pt idx="80">
                  <c:v>5.0874587878184309E-4</c:v>
                </c:pt>
                <c:pt idx="81">
                  <c:v>3.4491498329926784E-4</c:v>
                </c:pt>
                <c:pt idx="82">
                  <c:v>5.087458787818432E-4</c:v>
                </c:pt>
                <c:pt idx="83">
                  <c:v>1.0174917575636864E-3</c:v>
                </c:pt>
                <c:pt idx="84">
                  <c:v>6.8982996659853576E-5</c:v>
                </c:pt>
                <c:pt idx="85">
                  <c:v>5.0874587878184309E-4</c:v>
                </c:pt>
                <c:pt idx="86">
                  <c:v>1.0174917575636864E-3</c:v>
                </c:pt>
                <c:pt idx="87">
                  <c:v>6.8982996659853576E-5</c:v>
                </c:pt>
                <c:pt idx="88">
                  <c:v>5.087458787818432E-4</c:v>
                </c:pt>
                <c:pt idx="89">
                  <c:v>5.0874587878184309E-4</c:v>
                </c:pt>
                <c:pt idx="90">
                  <c:v>6.8982996659853576E-5</c:v>
                </c:pt>
                <c:pt idx="91">
                  <c:v>6.8982996659853576E-5</c:v>
                </c:pt>
                <c:pt idx="92">
                  <c:v>1.0174917575636864E-3</c:v>
                </c:pt>
                <c:pt idx="93">
                  <c:v>3.4491498329926784E-4</c:v>
                </c:pt>
                <c:pt idx="94">
                  <c:v>6.8982996659853576E-5</c:v>
                </c:pt>
                <c:pt idx="95">
                  <c:v>2.964391815717463E-3</c:v>
                </c:pt>
                <c:pt idx="96">
                  <c:v>2.964391815717463E-3</c:v>
                </c:pt>
                <c:pt idx="97">
                  <c:v>1.552776665375814E-3</c:v>
                </c:pt>
                <c:pt idx="98">
                  <c:v>1.552776665375814E-3</c:v>
                </c:pt>
                <c:pt idx="99">
                  <c:v>2.1135015723170798E-3</c:v>
                </c:pt>
                <c:pt idx="100">
                  <c:v>2.1135015723170798E-3</c:v>
                </c:pt>
                <c:pt idx="101">
                  <c:v>2.964391815717463E-3</c:v>
                </c:pt>
                <c:pt idx="102">
                  <c:v>1.552776665375814E-3</c:v>
                </c:pt>
                <c:pt idx="103">
                  <c:v>2.1135015723170798E-3</c:v>
                </c:pt>
                <c:pt idx="104">
                  <c:v>2.7870350404181278E-3</c:v>
                </c:pt>
                <c:pt idx="105">
                  <c:v>2.7870350404181278E-3</c:v>
                </c:pt>
                <c:pt idx="106">
                  <c:v>2.7870350404181278E-3</c:v>
                </c:pt>
                <c:pt idx="107">
                  <c:v>3.9525224209566176E-3</c:v>
                </c:pt>
                <c:pt idx="108">
                  <c:v>3.9525224209566176E-3</c:v>
                </c:pt>
                <c:pt idx="109">
                  <c:v>3.9525224209566176E-3</c:v>
                </c:pt>
                <c:pt idx="110">
                  <c:v>6.8982996659853576E-5</c:v>
                </c:pt>
                <c:pt idx="111">
                  <c:v>6.8982996659853576E-5</c:v>
                </c:pt>
                <c:pt idx="112">
                  <c:v>6.8982996659853576E-5</c:v>
                </c:pt>
                <c:pt idx="113">
                  <c:v>6.8982996659853576E-5</c:v>
                </c:pt>
                <c:pt idx="114">
                  <c:v>6.8982996659853576E-5</c:v>
                </c:pt>
                <c:pt idx="115">
                  <c:v>6.8982996659853576E-5</c:v>
                </c:pt>
                <c:pt idx="116">
                  <c:v>7.6311881817276459E-4</c:v>
                </c:pt>
                <c:pt idx="117">
                  <c:v>6.8982996659853576E-5</c:v>
                </c:pt>
                <c:pt idx="118">
                  <c:v>6.8982996659853576E-5</c:v>
                </c:pt>
                <c:pt idx="119">
                  <c:v>7.6311881817276459E-4</c:v>
                </c:pt>
                <c:pt idx="120">
                  <c:v>3.4491498329926784E-4</c:v>
                </c:pt>
                <c:pt idx="121">
                  <c:v>7.6311881817276459E-4</c:v>
                </c:pt>
                <c:pt idx="122">
                  <c:v>6.8982996659853576E-5</c:v>
                </c:pt>
                <c:pt idx="123">
                  <c:v>3.4491498329926784E-4</c:v>
                </c:pt>
                <c:pt idx="124">
                  <c:v>6.8982996659853576E-5</c:v>
                </c:pt>
                <c:pt idx="125">
                  <c:v>3.4491498329926784E-4</c:v>
                </c:pt>
                <c:pt idx="126">
                  <c:v>3.4491498329926784E-4</c:v>
                </c:pt>
                <c:pt idx="127">
                  <c:v>6.8982996659853576E-5</c:v>
                </c:pt>
                <c:pt idx="128">
                  <c:v>6.8982996659853576E-5</c:v>
                </c:pt>
                <c:pt idx="129">
                  <c:v>6.8982996659853576E-5</c:v>
                </c:pt>
                <c:pt idx="130">
                  <c:v>6.8982996659853576E-5</c:v>
                </c:pt>
                <c:pt idx="131">
                  <c:v>7.6311881817276459E-4</c:v>
                </c:pt>
                <c:pt idx="132">
                  <c:v>7.6311881817276459E-4</c:v>
                </c:pt>
                <c:pt idx="133">
                  <c:v>5.087458787818432E-4</c:v>
                </c:pt>
                <c:pt idx="134">
                  <c:v>7.6311881817276459E-4</c:v>
                </c:pt>
                <c:pt idx="135">
                  <c:v>5.087458787818432E-4</c:v>
                </c:pt>
                <c:pt idx="136">
                  <c:v>5.0874587878184309E-4</c:v>
                </c:pt>
                <c:pt idx="137">
                  <c:v>7.6311881817276459E-4</c:v>
                </c:pt>
                <c:pt idx="138">
                  <c:v>1.0174917575636864E-3</c:v>
                </c:pt>
                <c:pt idx="139">
                  <c:v>5.0874587878184309E-4</c:v>
                </c:pt>
                <c:pt idx="140">
                  <c:v>5.087458787818432E-4</c:v>
                </c:pt>
                <c:pt idx="141">
                  <c:v>3.4491498329926784E-4</c:v>
                </c:pt>
                <c:pt idx="142">
                  <c:v>1.0174917575636864E-3</c:v>
                </c:pt>
                <c:pt idx="143">
                  <c:v>5.0874587878184309E-4</c:v>
                </c:pt>
                <c:pt idx="144">
                  <c:v>6.8982996659853576E-5</c:v>
                </c:pt>
                <c:pt idx="145">
                  <c:v>1.0174917575636864E-3</c:v>
                </c:pt>
                <c:pt idx="146">
                  <c:v>7.6311881817276459E-4</c:v>
                </c:pt>
                <c:pt idx="147">
                  <c:v>5.087458787818432E-4</c:v>
                </c:pt>
                <c:pt idx="148">
                  <c:v>5.0874587878184309E-4</c:v>
                </c:pt>
                <c:pt idx="149">
                  <c:v>1.0174917575636864E-3</c:v>
                </c:pt>
                <c:pt idx="150">
                  <c:v>2.964391815717463E-3</c:v>
                </c:pt>
                <c:pt idx="151">
                  <c:v>1.552776665375814E-3</c:v>
                </c:pt>
                <c:pt idx="152">
                  <c:v>2.964391815717463E-3</c:v>
                </c:pt>
                <c:pt idx="153">
                  <c:v>2.964391815717463E-3</c:v>
                </c:pt>
                <c:pt idx="154">
                  <c:v>1.552776665375814E-3</c:v>
                </c:pt>
                <c:pt idx="155">
                  <c:v>1.552776665375814E-3</c:v>
                </c:pt>
                <c:pt idx="156">
                  <c:v>2.1135015723170798E-3</c:v>
                </c:pt>
                <c:pt idx="157">
                  <c:v>2.1135015723170798E-3</c:v>
                </c:pt>
                <c:pt idx="158">
                  <c:v>2.1135015723170798E-3</c:v>
                </c:pt>
                <c:pt idx="159">
                  <c:v>2.7870350404181278E-3</c:v>
                </c:pt>
                <c:pt idx="160">
                  <c:v>2.7870350404181278E-3</c:v>
                </c:pt>
                <c:pt idx="161">
                  <c:v>2.7870350404181278E-3</c:v>
                </c:pt>
                <c:pt idx="162">
                  <c:v>3.9525224209566176E-3</c:v>
                </c:pt>
                <c:pt idx="163">
                  <c:v>3.9525224209566176E-3</c:v>
                </c:pt>
                <c:pt idx="164">
                  <c:v>3.9525224209566176E-3</c:v>
                </c:pt>
              </c:numCache>
            </c:numRef>
          </c:val>
          <c:extLst>
            <c:ext xmlns:c16="http://schemas.microsoft.com/office/drawing/2014/chart" uri="{C3380CC4-5D6E-409C-BE32-E72D297353CC}">
              <c16:uniqueId val="{00000002-F45C-465E-A516-77C650081690}"/>
            </c:ext>
          </c:extLst>
        </c:ser>
        <c:ser>
          <c:idx val="3"/>
          <c:order val="3"/>
          <c:tx>
            <c:strRef>
              <c:f>FIGURES!$F$397</c:f>
              <c:strCache>
                <c:ptCount val="1"/>
                <c:pt idx="0">
                  <c:v>Residual value (costumization)</c:v>
                </c:pt>
              </c:strCache>
            </c:strRef>
          </c:tx>
          <c:spPr>
            <a:solidFill>
              <a:schemeClr val="accent4"/>
            </a:solidFill>
            <a:ln>
              <a:noFill/>
            </a:ln>
            <a:effectLst/>
          </c:spPr>
          <c:invertIfNegative val="0"/>
          <c:cat>
            <c:multiLvlStrRef>
              <c:f>FIGURES!$A$398:$B$562</c:f>
              <c:multiLvlStrCache>
                <c:ptCount val="165"/>
                <c:lvl>
                  <c:pt idx="0">
                    <c:v>Sea - Neon bulk - Heavy fuel oil</c:v>
                  </c:pt>
                  <c:pt idx="1">
                    <c:v>Sea - Dry bulk - Heavy fuel oil</c:v>
                  </c:pt>
                  <c:pt idx="2">
                    <c:v>Sea - Container - Heavy fuel oil</c:v>
                  </c:pt>
                  <c:pt idx="3">
                    <c:v>Sea - Break bulk - Heavy fuel oil</c:v>
                  </c:pt>
                  <c:pt idx="4">
                    <c:v>Rail - Dry bulk - Catenary</c:v>
                  </c:pt>
                  <c:pt idx="5">
                    <c:v>Sea - Neon bulk - Maritime gas oil</c:v>
                  </c:pt>
                  <c:pt idx="6">
                    <c:v>Sea - Dry bulk - Maritime gas oil</c:v>
                  </c:pt>
                  <c:pt idx="7">
                    <c:v>Sea - Container - Maritime gas oil</c:v>
                  </c:pt>
                  <c:pt idx="8">
                    <c:v>Sea - Break bulk - Maritime gas oil</c:v>
                  </c:pt>
                  <c:pt idx="9">
                    <c:v>Rail - Dry bulk - Diesel</c:v>
                  </c:pt>
                  <c:pt idx="10">
                    <c:v>Rail - Break bulk - Catenary</c:v>
                  </c:pt>
                  <c:pt idx="11">
                    <c:v>Rail - Dry bulk - Battery</c:v>
                  </c:pt>
                  <c:pt idx="12">
                    <c:v>Rail - Container - Catenary</c:v>
                  </c:pt>
                  <c:pt idx="13">
                    <c:v>Rail - Neon bulk - Catenary</c:v>
                  </c:pt>
                  <c:pt idx="14">
                    <c:v>Rail - Liquid bulk - Catenary</c:v>
                  </c:pt>
                  <c:pt idx="15">
                    <c:v>Rail - Break bulk - Diesel</c:v>
                  </c:pt>
                  <c:pt idx="16">
                    <c:v>Sea - Neon bulk - Ammoina</c:v>
                  </c:pt>
                  <c:pt idx="17">
                    <c:v>Sea - Dry bulk - Ammonia</c:v>
                  </c:pt>
                  <c:pt idx="18">
                    <c:v>Rail - Break bulk - Battery</c:v>
                  </c:pt>
                  <c:pt idx="19">
                    <c:v>Rail - Dry bulk - Hydrogen</c:v>
                  </c:pt>
                  <c:pt idx="20">
                    <c:v>Sea - Neon bulk - Hydrogen</c:v>
                  </c:pt>
                  <c:pt idx="21">
                    <c:v>Sea - Dry bulk - Hydrogen</c:v>
                  </c:pt>
                  <c:pt idx="22">
                    <c:v>Rail - Container - Diesel</c:v>
                  </c:pt>
                  <c:pt idx="23">
                    <c:v>Rail - Neon bulk - Diesel</c:v>
                  </c:pt>
                  <c:pt idx="24">
                    <c:v>Rail - Container - Battery</c:v>
                  </c:pt>
                  <c:pt idx="25">
                    <c:v>Rail - Liquid bulk - Diesel</c:v>
                  </c:pt>
                  <c:pt idx="26">
                    <c:v>Sea - Container - Ammonia</c:v>
                  </c:pt>
                  <c:pt idx="27">
                    <c:v>Rail - Break bulk - Hydrogen</c:v>
                  </c:pt>
                  <c:pt idx="28">
                    <c:v>Rail - Neon bulk - Battery</c:v>
                  </c:pt>
                  <c:pt idx="29">
                    <c:v>Rail - Liquid bulk - Battery</c:v>
                  </c:pt>
                  <c:pt idx="30">
                    <c:v>Sea - Break bulk - Ammonia</c:v>
                  </c:pt>
                  <c:pt idx="31">
                    <c:v>Sea - Container - Hydrogen</c:v>
                  </c:pt>
                  <c:pt idx="32">
                    <c:v>Sea - Break bulk - Hydrogen</c:v>
                  </c:pt>
                  <c:pt idx="33">
                    <c:v>Rail - Container - Hydrogen</c:v>
                  </c:pt>
                  <c:pt idx="34">
                    <c:v>Rail - Neon bulk - Hydrogen</c:v>
                  </c:pt>
                  <c:pt idx="35">
                    <c:v>Rail - Liquid bulk - Hydrogen</c:v>
                  </c:pt>
                  <c:pt idx="36">
                    <c:v>Sea - Neon bulk - Methanol</c:v>
                  </c:pt>
                  <c:pt idx="37">
                    <c:v>Sea - Dry bulk - Methanol</c:v>
                  </c:pt>
                  <c:pt idx="38">
                    <c:v>Sea - Container - Methanol</c:v>
                  </c:pt>
                  <c:pt idx="39">
                    <c:v>Sea - Break bulk - Methanol</c:v>
                  </c:pt>
                  <c:pt idx="40">
                    <c:v>Road - Liquid bulk - Diesel</c:v>
                  </c:pt>
                  <c:pt idx="41">
                    <c:v>Road - Container - Diesel</c:v>
                  </c:pt>
                  <c:pt idx="42">
                    <c:v>Road - Neon bulk - Diesel</c:v>
                  </c:pt>
                  <c:pt idx="43">
                    <c:v>Road - Liquid bulk - Battery</c:v>
                  </c:pt>
                  <c:pt idx="44">
                    <c:v>Road - Container - Battery</c:v>
                  </c:pt>
                  <c:pt idx="45">
                    <c:v>Road - Break bulk - Diesel</c:v>
                  </c:pt>
                  <c:pt idx="46">
                    <c:v>Road - Neon bulk - Battery</c:v>
                  </c:pt>
                  <c:pt idx="47">
                    <c:v>Road - Liquid bulk - Hydrogen</c:v>
                  </c:pt>
                  <c:pt idx="48">
                    <c:v>Road - Container - Hydrogen</c:v>
                  </c:pt>
                  <c:pt idx="49">
                    <c:v>Road - Break bulk - Battery</c:v>
                  </c:pt>
                  <c:pt idx="50">
                    <c:v>Road - Neon bulk - Hydrogen</c:v>
                  </c:pt>
                  <c:pt idx="51">
                    <c:v>Road - Dry bulk - Diesel</c:v>
                  </c:pt>
                  <c:pt idx="52">
                    <c:v>Road - Break bulk - Hydrogen</c:v>
                  </c:pt>
                  <c:pt idx="53">
                    <c:v>Road - Dry bulk - Battery</c:v>
                  </c:pt>
                  <c:pt idx="54">
                    <c:v>Road - Dry bulk - Hydrogen</c:v>
                  </c:pt>
                  <c:pt idx="55">
                    <c:v>Sea - Neon bulk - Heavy fuel oil</c:v>
                  </c:pt>
                  <c:pt idx="56">
                    <c:v>Sea - Dry bulk - Heavy fuel oil</c:v>
                  </c:pt>
                  <c:pt idx="57">
                    <c:v>Rail - Dry bulk - Catenary</c:v>
                  </c:pt>
                  <c:pt idx="58">
                    <c:v>Sea - Neon bulk - Maritime gas oil</c:v>
                  </c:pt>
                  <c:pt idx="59">
                    <c:v>Sea - Dry bulk - Maritime gas oil</c:v>
                  </c:pt>
                  <c:pt idx="60">
                    <c:v>Sea - Container - Heavy fuel oil</c:v>
                  </c:pt>
                  <c:pt idx="61">
                    <c:v>Sea - Break bulk - Heavy fuel oil</c:v>
                  </c:pt>
                  <c:pt idx="62">
                    <c:v>Sea - Container - Maritime gas oil</c:v>
                  </c:pt>
                  <c:pt idx="63">
                    <c:v>Rail - Dry bulk - Battery</c:v>
                  </c:pt>
                  <c:pt idx="64">
                    <c:v>Sea - Break bulk - Maritime gas oil</c:v>
                  </c:pt>
                  <c:pt idx="65">
                    <c:v>Rail - Dry bulk - Diesel</c:v>
                  </c:pt>
                  <c:pt idx="66">
                    <c:v>Rail - Break bulk - Catenary</c:v>
                  </c:pt>
                  <c:pt idx="67">
                    <c:v>Rail - Container - Catenary</c:v>
                  </c:pt>
                  <c:pt idx="68">
                    <c:v>Rail - Dry bulk - Hydrogen</c:v>
                  </c:pt>
                  <c:pt idx="69">
                    <c:v>Rail - Neon bulk - Catenary</c:v>
                  </c:pt>
                  <c:pt idx="70">
                    <c:v>Sea - Neon bulk - Ammoina</c:v>
                  </c:pt>
                  <c:pt idx="71">
                    <c:v>Sea - Dry bulk - Ammonia</c:v>
                  </c:pt>
                  <c:pt idx="72">
                    <c:v>Rail - Liquid bulk - Catenary</c:v>
                  </c:pt>
                  <c:pt idx="73">
                    <c:v>Sea - Neon bulk - Hydrogen</c:v>
                  </c:pt>
                  <c:pt idx="74">
                    <c:v>Sea - Dry bulk - Hydrogen</c:v>
                  </c:pt>
                  <c:pt idx="75">
                    <c:v>Rail - Break bulk - Battery</c:v>
                  </c:pt>
                  <c:pt idx="76">
                    <c:v>Rail - Break bulk - Diesel</c:v>
                  </c:pt>
                  <c:pt idx="77">
                    <c:v>Rail - Break bulk - Hydrogen</c:v>
                  </c:pt>
                  <c:pt idx="78">
                    <c:v>Rail - Container - Battery</c:v>
                  </c:pt>
                  <c:pt idx="79">
                    <c:v>Sea - Container - Ammonia</c:v>
                  </c:pt>
                  <c:pt idx="80">
                    <c:v>Rail - Neon bulk - Battery</c:v>
                  </c:pt>
                  <c:pt idx="81">
                    <c:v>Sea - Container - Hydrogen</c:v>
                  </c:pt>
                  <c:pt idx="82">
                    <c:v>Rail - Container - Diesel</c:v>
                  </c:pt>
                  <c:pt idx="83">
                    <c:v>Rail - Liquid bulk - Battery</c:v>
                  </c:pt>
                  <c:pt idx="84">
                    <c:v>Sea - Break bulk - Ammonia</c:v>
                  </c:pt>
                  <c:pt idx="85">
                    <c:v>Rail - Neon bulk - Diesel</c:v>
                  </c:pt>
                  <c:pt idx="86">
                    <c:v>Rail - Liquid bulk - Diesel</c:v>
                  </c:pt>
                  <c:pt idx="87">
                    <c:v>Sea - Break bulk - Hydrogen</c:v>
                  </c:pt>
                  <c:pt idx="88">
                    <c:v>Rail - Container - Hydrogen</c:v>
                  </c:pt>
                  <c:pt idx="89">
                    <c:v>Rail - Neon bulk - Hydrogen</c:v>
                  </c:pt>
                  <c:pt idx="90">
                    <c:v>Sea - Neon bulk - Methanol</c:v>
                  </c:pt>
                  <c:pt idx="91">
                    <c:v>Sea - Dry bulk - Methanol</c:v>
                  </c:pt>
                  <c:pt idx="92">
                    <c:v>Rail - Liquid bulk - Hydrogen</c:v>
                  </c:pt>
                  <c:pt idx="93">
                    <c:v>Sea - Container - Methanol</c:v>
                  </c:pt>
                  <c:pt idx="94">
                    <c:v>Sea - Break bulk - Methanol</c:v>
                  </c:pt>
                  <c:pt idx="95">
                    <c:v>Road - Liquid bulk - Battery</c:v>
                  </c:pt>
                  <c:pt idx="96">
                    <c:v>Road - Liquid bulk - Diesel</c:v>
                  </c:pt>
                  <c:pt idx="97">
                    <c:v>Road - Container - Battery</c:v>
                  </c:pt>
                  <c:pt idx="98">
                    <c:v>Road - Container - Diesel</c:v>
                  </c:pt>
                  <c:pt idx="99">
                    <c:v>Road - Neon bulk - Diesel</c:v>
                  </c:pt>
                  <c:pt idx="100">
                    <c:v>Road - Neon bulk - Battery</c:v>
                  </c:pt>
                  <c:pt idx="101">
                    <c:v>Road - Liquid bulk - Hydrogen</c:v>
                  </c:pt>
                  <c:pt idx="102">
                    <c:v>Road - Container - Hydrogen</c:v>
                  </c:pt>
                  <c:pt idx="103">
                    <c:v>Road - Neon bulk - Hydrogen</c:v>
                  </c:pt>
                  <c:pt idx="104">
                    <c:v>Road - Break bulk - Diesel</c:v>
                  </c:pt>
                  <c:pt idx="105">
                    <c:v>Road - Break bulk - Battery</c:v>
                  </c:pt>
                  <c:pt idx="106">
                    <c:v>Road - Break bulk - Hydrogen</c:v>
                  </c:pt>
                  <c:pt idx="107">
                    <c:v>Road - Dry bulk - Diesel</c:v>
                  </c:pt>
                  <c:pt idx="108">
                    <c:v>Road - Dry bulk - Battery</c:v>
                  </c:pt>
                  <c:pt idx="109">
                    <c:v>Road - Dry bulk - Hydrogen</c:v>
                  </c:pt>
                  <c:pt idx="110">
                    <c:v>Sea - Neon bulk - Heavy fuel oil</c:v>
                  </c:pt>
                  <c:pt idx="111">
                    <c:v>Sea - Dry bulk - Heavy fuel oil</c:v>
                  </c:pt>
                  <c:pt idx="112">
                    <c:v>Sea - Neon bulk - Maritime gas oil</c:v>
                  </c:pt>
                  <c:pt idx="113">
                    <c:v>Sea - Dry bulk - Maritime gas oil</c:v>
                  </c:pt>
                  <c:pt idx="114">
                    <c:v>Sea - Neon bulk - Ammoina</c:v>
                  </c:pt>
                  <c:pt idx="115">
                    <c:v>Sea - Dry bulk - Ammonia</c:v>
                  </c:pt>
                  <c:pt idx="116">
                    <c:v>Rail - Dry bulk - Catenary</c:v>
                  </c:pt>
                  <c:pt idx="117">
                    <c:v>Sea - Neon bulk - Hydrogen</c:v>
                  </c:pt>
                  <c:pt idx="118">
                    <c:v>Sea - Dry bulk - Hydrogen</c:v>
                  </c:pt>
                  <c:pt idx="119">
                    <c:v>Rail - Dry bulk - Hydrogen</c:v>
                  </c:pt>
                  <c:pt idx="120">
                    <c:v>Sea - Container - Heavy fuel oil</c:v>
                  </c:pt>
                  <c:pt idx="121">
                    <c:v>Rail - Dry bulk - Battery</c:v>
                  </c:pt>
                  <c:pt idx="122">
                    <c:v>Sea - Break bulk - Heavy fuel oil</c:v>
                  </c:pt>
                  <c:pt idx="123">
                    <c:v>Sea - Container - Maritime gas oil</c:v>
                  </c:pt>
                  <c:pt idx="124">
                    <c:v>Sea - Break bulk - Maritime gas oil</c:v>
                  </c:pt>
                  <c:pt idx="125">
                    <c:v>Sea - Container - Ammonia</c:v>
                  </c:pt>
                  <c:pt idx="126">
                    <c:v>Sea - Container - Hydrogen</c:v>
                  </c:pt>
                  <c:pt idx="127">
                    <c:v>Sea - Neon bulk - Methanol</c:v>
                  </c:pt>
                  <c:pt idx="128">
                    <c:v>Sea - Dry bulk - Methanol</c:v>
                  </c:pt>
                  <c:pt idx="129">
                    <c:v>Sea - Break bulk - Ammonia</c:v>
                  </c:pt>
                  <c:pt idx="130">
                    <c:v>Sea - Break bulk - Hydrogen</c:v>
                  </c:pt>
                  <c:pt idx="131">
                    <c:v>Rail - Dry bulk - Diesel</c:v>
                  </c:pt>
                  <c:pt idx="132">
                    <c:v>Rail - Break bulk - Catenary</c:v>
                  </c:pt>
                  <c:pt idx="133">
                    <c:v>Rail - Container - Catenary</c:v>
                  </c:pt>
                  <c:pt idx="134">
                    <c:v>Rail - Break bulk - Hydrogen</c:v>
                  </c:pt>
                  <c:pt idx="135">
                    <c:v>Rail - Container - Hydrogen</c:v>
                  </c:pt>
                  <c:pt idx="136">
                    <c:v>Rail - Neon bulk - Catenary</c:v>
                  </c:pt>
                  <c:pt idx="137">
                    <c:v>Rail - Break bulk - Battery</c:v>
                  </c:pt>
                  <c:pt idx="138">
                    <c:v>Rail - Liquid bulk - Catenary</c:v>
                  </c:pt>
                  <c:pt idx="139">
                    <c:v>Rail - Neon bulk - Hydrogen</c:v>
                  </c:pt>
                  <c:pt idx="140">
                    <c:v>Rail - Container - Battery</c:v>
                  </c:pt>
                  <c:pt idx="141">
                    <c:v>Sea - Container - Methanol</c:v>
                  </c:pt>
                  <c:pt idx="142">
                    <c:v>Rail - Liquid bulk - Hydrogen</c:v>
                  </c:pt>
                  <c:pt idx="143">
                    <c:v>Rail - Neon bulk - Battery</c:v>
                  </c:pt>
                  <c:pt idx="144">
                    <c:v>Sea - Break bulk - Methanol</c:v>
                  </c:pt>
                  <c:pt idx="145">
                    <c:v>Rail - Liquid bulk - Battery</c:v>
                  </c:pt>
                  <c:pt idx="146">
                    <c:v>Rail - Break bulk - Diesel</c:v>
                  </c:pt>
                  <c:pt idx="147">
                    <c:v>Rail - Container - Diesel</c:v>
                  </c:pt>
                  <c:pt idx="148">
                    <c:v>Rail - Neon bulk - Diesel</c:v>
                  </c:pt>
                  <c:pt idx="149">
                    <c:v>Rail - Liquid bulk - Diesel</c:v>
                  </c:pt>
                  <c:pt idx="150">
                    <c:v>Road - Liquid bulk - Battery</c:v>
                  </c:pt>
                  <c:pt idx="151">
                    <c:v>Road - Container - Battery</c:v>
                  </c:pt>
                  <c:pt idx="152">
                    <c:v>Road - Liquid bulk - Diesel</c:v>
                  </c:pt>
                  <c:pt idx="153">
                    <c:v>Road - Liquid bulk - Hydrogen</c:v>
                  </c:pt>
                  <c:pt idx="154">
                    <c:v>Road - Container - Diesel</c:v>
                  </c:pt>
                  <c:pt idx="155">
                    <c:v>Road - Container - Hydrogen</c:v>
                  </c:pt>
                  <c:pt idx="156">
                    <c:v>Road - Neon bulk - Battery</c:v>
                  </c:pt>
                  <c:pt idx="157">
                    <c:v>Road - Neon bulk - Diesel</c:v>
                  </c:pt>
                  <c:pt idx="158">
                    <c:v>Road - Neon bulk - Hydrogen</c:v>
                  </c:pt>
                  <c:pt idx="159">
                    <c:v>Road - Break bulk - Battery</c:v>
                  </c:pt>
                  <c:pt idx="160">
                    <c:v>Road - Break bulk - Diesel</c:v>
                  </c:pt>
                  <c:pt idx="161">
                    <c:v>Road - Break bulk - Hydrogen</c:v>
                  </c:pt>
                  <c:pt idx="162">
                    <c:v>Road - Dry bulk - Battery</c:v>
                  </c:pt>
                  <c:pt idx="163">
                    <c:v>Road - Dry bulk - Diesel</c:v>
                  </c:pt>
                  <c:pt idx="164">
                    <c:v>Road - Dry bulk - Hydrogen</c:v>
                  </c:pt>
                </c:lvl>
                <c:lvl>
                  <c:pt idx="0">
                    <c:v>2023</c:v>
                  </c:pt>
                  <c:pt idx="55">
                    <c:v>2034</c:v>
                  </c:pt>
                  <c:pt idx="110">
                    <c:v>2050</c:v>
                  </c:pt>
                </c:lvl>
              </c:multiLvlStrCache>
            </c:multiLvlStrRef>
          </c:cat>
          <c:val>
            <c:numRef>
              <c:f>FIGURES!$F$398:$F$562</c:f>
              <c:numCache>
                <c:formatCode>General</c:formatCode>
                <c:ptCount val="165"/>
                <c:pt idx="0">
                  <c:v>-6.8982996659853564E-6</c:v>
                </c:pt>
                <c:pt idx="1">
                  <c:v>-6.8982996659853564E-6</c:v>
                </c:pt>
                <c:pt idx="2">
                  <c:v>-3.4491498329926788E-5</c:v>
                </c:pt>
                <c:pt idx="3">
                  <c:v>-6.8982996659853564E-6</c:v>
                </c:pt>
                <c:pt idx="4">
                  <c:v>-3.8155940908638231E-5</c:v>
                </c:pt>
                <c:pt idx="5">
                  <c:v>-6.8982996659853564E-6</c:v>
                </c:pt>
                <c:pt idx="6">
                  <c:v>-6.8982996659853564E-6</c:v>
                </c:pt>
                <c:pt idx="7">
                  <c:v>-3.4491498329926788E-5</c:v>
                </c:pt>
                <c:pt idx="8">
                  <c:v>-6.8982996659853564E-6</c:v>
                </c:pt>
                <c:pt idx="9">
                  <c:v>-3.8155940908638231E-5</c:v>
                </c:pt>
                <c:pt idx="10">
                  <c:v>-3.8155940908638231E-5</c:v>
                </c:pt>
                <c:pt idx="11">
                  <c:v>-3.8155940908638231E-5</c:v>
                </c:pt>
                <c:pt idx="12">
                  <c:v>-2.5437293939092156E-5</c:v>
                </c:pt>
                <c:pt idx="13">
                  <c:v>-2.5437293939092159E-5</c:v>
                </c:pt>
                <c:pt idx="14">
                  <c:v>-5.0874587878184312E-5</c:v>
                </c:pt>
                <c:pt idx="15">
                  <c:v>-3.8155940908638231E-5</c:v>
                </c:pt>
                <c:pt idx="16">
                  <c:v>-6.8982996659853564E-6</c:v>
                </c:pt>
                <c:pt idx="17">
                  <c:v>-6.8982996659853564E-6</c:v>
                </c:pt>
                <c:pt idx="18">
                  <c:v>-3.8155940908638231E-5</c:v>
                </c:pt>
                <c:pt idx="19">
                  <c:v>-3.8155940908638231E-5</c:v>
                </c:pt>
                <c:pt idx="20">
                  <c:v>-6.8982996659853564E-6</c:v>
                </c:pt>
                <c:pt idx="21">
                  <c:v>-6.8982996659853564E-6</c:v>
                </c:pt>
                <c:pt idx="22">
                  <c:v>-2.5437293939092156E-5</c:v>
                </c:pt>
                <c:pt idx="23">
                  <c:v>-2.5437293939092159E-5</c:v>
                </c:pt>
                <c:pt idx="24">
                  <c:v>-2.5437293939092156E-5</c:v>
                </c:pt>
                <c:pt idx="25">
                  <c:v>-5.0874587878184312E-5</c:v>
                </c:pt>
                <c:pt idx="26">
                  <c:v>-3.4491498329926788E-5</c:v>
                </c:pt>
                <c:pt idx="27">
                  <c:v>-3.8155940908638231E-5</c:v>
                </c:pt>
                <c:pt idx="28">
                  <c:v>-2.5437293939092159E-5</c:v>
                </c:pt>
                <c:pt idx="29">
                  <c:v>-5.0874587878184312E-5</c:v>
                </c:pt>
                <c:pt idx="30">
                  <c:v>-6.8982996659853564E-6</c:v>
                </c:pt>
                <c:pt idx="31">
                  <c:v>-3.4491498329926788E-5</c:v>
                </c:pt>
                <c:pt idx="32">
                  <c:v>-6.8982996659853564E-6</c:v>
                </c:pt>
                <c:pt idx="33">
                  <c:v>-2.5437293939092156E-5</c:v>
                </c:pt>
                <c:pt idx="34">
                  <c:v>-2.5437293939092159E-5</c:v>
                </c:pt>
                <c:pt idx="35">
                  <c:v>-5.0874587878184312E-5</c:v>
                </c:pt>
                <c:pt idx="36">
                  <c:v>-6.8982996659853564E-6</c:v>
                </c:pt>
                <c:pt idx="37">
                  <c:v>-6.8982996659853564E-6</c:v>
                </c:pt>
                <c:pt idx="38">
                  <c:v>-3.4491498329926788E-5</c:v>
                </c:pt>
                <c:pt idx="39">
                  <c:v>-6.8982996659853564E-6</c:v>
                </c:pt>
                <c:pt idx="40">
                  <c:v>-7.4109795392936575E-4</c:v>
                </c:pt>
                <c:pt idx="41">
                  <c:v>-3.8819416634395349E-4</c:v>
                </c:pt>
                <c:pt idx="42">
                  <c:v>-5.2837539307926996E-4</c:v>
                </c:pt>
                <c:pt idx="43">
                  <c:v>-7.4109795392936575E-4</c:v>
                </c:pt>
                <c:pt idx="44">
                  <c:v>-3.8819416634395349E-4</c:v>
                </c:pt>
                <c:pt idx="45">
                  <c:v>-6.9675876010453195E-4</c:v>
                </c:pt>
                <c:pt idx="46">
                  <c:v>-5.2837539307926996E-4</c:v>
                </c:pt>
                <c:pt idx="47">
                  <c:v>-7.4109795392936575E-4</c:v>
                </c:pt>
                <c:pt idx="48">
                  <c:v>-3.8819416634395349E-4</c:v>
                </c:pt>
                <c:pt idx="49">
                  <c:v>-6.9675876010453195E-4</c:v>
                </c:pt>
                <c:pt idx="50">
                  <c:v>-5.2837539307926996E-4</c:v>
                </c:pt>
                <c:pt idx="51">
                  <c:v>-9.8813060523915441E-4</c:v>
                </c:pt>
                <c:pt idx="52">
                  <c:v>-6.9675876010453195E-4</c:v>
                </c:pt>
                <c:pt idx="53">
                  <c:v>-9.8813060523915441E-4</c:v>
                </c:pt>
                <c:pt idx="54">
                  <c:v>-9.8813060523915441E-4</c:v>
                </c:pt>
                <c:pt idx="55">
                  <c:v>-6.8982996659853564E-6</c:v>
                </c:pt>
                <c:pt idx="56">
                  <c:v>-6.8982996659853564E-6</c:v>
                </c:pt>
                <c:pt idx="57">
                  <c:v>-3.8155940908638231E-5</c:v>
                </c:pt>
                <c:pt idx="58">
                  <c:v>-6.8982996659853564E-6</c:v>
                </c:pt>
                <c:pt idx="59">
                  <c:v>-6.8982996659853564E-6</c:v>
                </c:pt>
                <c:pt idx="60">
                  <c:v>-3.4491498329926788E-5</c:v>
                </c:pt>
                <c:pt idx="61">
                  <c:v>-6.8982996659853564E-6</c:v>
                </c:pt>
                <c:pt idx="62">
                  <c:v>-3.4491498329926788E-5</c:v>
                </c:pt>
                <c:pt idx="63">
                  <c:v>-3.8155940908638231E-5</c:v>
                </c:pt>
                <c:pt idx="64">
                  <c:v>-6.8982996659853564E-6</c:v>
                </c:pt>
                <c:pt idx="65">
                  <c:v>-3.8155940908638231E-5</c:v>
                </c:pt>
                <c:pt idx="66">
                  <c:v>-3.8155940908638231E-5</c:v>
                </c:pt>
                <c:pt idx="67">
                  <c:v>-2.5437293939092156E-5</c:v>
                </c:pt>
                <c:pt idx="68">
                  <c:v>-3.8155940908638231E-5</c:v>
                </c:pt>
                <c:pt idx="69">
                  <c:v>-2.5437293939092159E-5</c:v>
                </c:pt>
                <c:pt idx="70">
                  <c:v>-6.8982996659853564E-6</c:v>
                </c:pt>
                <c:pt idx="71">
                  <c:v>-6.8982996659853564E-6</c:v>
                </c:pt>
                <c:pt idx="72">
                  <c:v>-5.0874587878184312E-5</c:v>
                </c:pt>
                <c:pt idx="73">
                  <c:v>-6.8982996659853564E-6</c:v>
                </c:pt>
                <c:pt idx="74">
                  <c:v>-6.8982996659853564E-6</c:v>
                </c:pt>
                <c:pt idx="75">
                  <c:v>-3.8155940908638231E-5</c:v>
                </c:pt>
                <c:pt idx="76">
                  <c:v>-3.8155940908638231E-5</c:v>
                </c:pt>
                <c:pt idx="77">
                  <c:v>-3.8155940908638231E-5</c:v>
                </c:pt>
                <c:pt idx="78">
                  <c:v>-2.5437293939092156E-5</c:v>
                </c:pt>
                <c:pt idx="79">
                  <c:v>-3.4491498329926788E-5</c:v>
                </c:pt>
                <c:pt idx="80">
                  <c:v>-2.5437293939092159E-5</c:v>
                </c:pt>
                <c:pt idx="81">
                  <c:v>-3.4491498329926788E-5</c:v>
                </c:pt>
                <c:pt idx="82">
                  <c:v>-2.5437293939092156E-5</c:v>
                </c:pt>
                <c:pt idx="83">
                  <c:v>-5.0874587878184312E-5</c:v>
                </c:pt>
                <c:pt idx="84">
                  <c:v>-6.8982996659853564E-6</c:v>
                </c:pt>
                <c:pt idx="85">
                  <c:v>-2.5437293939092159E-5</c:v>
                </c:pt>
                <c:pt idx="86">
                  <c:v>-5.0874587878184312E-5</c:v>
                </c:pt>
                <c:pt idx="87">
                  <c:v>-6.8982996659853564E-6</c:v>
                </c:pt>
                <c:pt idx="88">
                  <c:v>-2.5437293939092156E-5</c:v>
                </c:pt>
                <c:pt idx="89">
                  <c:v>-2.5437293939092159E-5</c:v>
                </c:pt>
                <c:pt idx="90">
                  <c:v>-6.8982996659853564E-6</c:v>
                </c:pt>
                <c:pt idx="91">
                  <c:v>-6.8982996659853564E-6</c:v>
                </c:pt>
                <c:pt idx="92">
                  <c:v>-5.0874587878184312E-5</c:v>
                </c:pt>
                <c:pt idx="93">
                  <c:v>-3.4491498329926788E-5</c:v>
                </c:pt>
                <c:pt idx="94">
                  <c:v>-6.8982996659853564E-6</c:v>
                </c:pt>
                <c:pt idx="95">
                  <c:v>-7.4109795392936575E-4</c:v>
                </c:pt>
                <c:pt idx="96">
                  <c:v>-7.4109795392936575E-4</c:v>
                </c:pt>
                <c:pt idx="97">
                  <c:v>-3.8819416634395349E-4</c:v>
                </c:pt>
                <c:pt idx="98">
                  <c:v>-3.8819416634395349E-4</c:v>
                </c:pt>
                <c:pt idx="99">
                  <c:v>-5.2837539307926996E-4</c:v>
                </c:pt>
                <c:pt idx="100">
                  <c:v>-5.2837539307926996E-4</c:v>
                </c:pt>
                <c:pt idx="101">
                  <c:v>-7.4109795392936575E-4</c:v>
                </c:pt>
                <c:pt idx="102">
                  <c:v>-3.8819416634395349E-4</c:v>
                </c:pt>
                <c:pt idx="103">
                  <c:v>-5.2837539307926996E-4</c:v>
                </c:pt>
                <c:pt idx="104">
                  <c:v>-6.9675876010453195E-4</c:v>
                </c:pt>
                <c:pt idx="105">
                  <c:v>-6.9675876010453195E-4</c:v>
                </c:pt>
                <c:pt idx="106">
                  <c:v>-6.9675876010453195E-4</c:v>
                </c:pt>
                <c:pt idx="107">
                  <c:v>-9.8813060523915441E-4</c:v>
                </c:pt>
                <c:pt idx="108">
                  <c:v>-9.8813060523915441E-4</c:v>
                </c:pt>
                <c:pt idx="109">
                  <c:v>-9.8813060523915441E-4</c:v>
                </c:pt>
                <c:pt idx="110">
                  <c:v>-6.8982996659853564E-6</c:v>
                </c:pt>
                <c:pt idx="111">
                  <c:v>-6.8982996659853564E-6</c:v>
                </c:pt>
                <c:pt idx="112">
                  <c:v>-6.8982996659853564E-6</c:v>
                </c:pt>
                <c:pt idx="113">
                  <c:v>-6.8982996659853564E-6</c:v>
                </c:pt>
                <c:pt idx="114">
                  <c:v>-6.8982996659853564E-6</c:v>
                </c:pt>
                <c:pt idx="115">
                  <c:v>-6.8982996659853564E-6</c:v>
                </c:pt>
                <c:pt idx="116">
                  <c:v>-3.8155940908638231E-5</c:v>
                </c:pt>
                <c:pt idx="117">
                  <c:v>-6.8982996659853564E-6</c:v>
                </c:pt>
                <c:pt idx="118">
                  <c:v>-6.8982996659853564E-6</c:v>
                </c:pt>
                <c:pt idx="119">
                  <c:v>-3.8155940908638231E-5</c:v>
                </c:pt>
                <c:pt idx="120">
                  <c:v>-3.4491498329926788E-5</c:v>
                </c:pt>
                <c:pt idx="121">
                  <c:v>-3.8155940908638231E-5</c:v>
                </c:pt>
                <c:pt idx="122">
                  <c:v>-6.8982996659853564E-6</c:v>
                </c:pt>
                <c:pt idx="123">
                  <c:v>-3.4491498329926788E-5</c:v>
                </c:pt>
                <c:pt idx="124">
                  <c:v>-6.8982996659853564E-6</c:v>
                </c:pt>
                <c:pt idx="125">
                  <c:v>-3.4491498329926788E-5</c:v>
                </c:pt>
                <c:pt idx="126">
                  <c:v>-3.4491498329926788E-5</c:v>
                </c:pt>
                <c:pt idx="127">
                  <c:v>-6.8982996659853564E-6</c:v>
                </c:pt>
                <c:pt idx="128">
                  <c:v>-6.8982996659853564E-6</c:v>
                </c:pt>
                <c:pt idx="129">
                  <c:v>-6.8982996659853564E-6</c:v>
                </c:pt>
                <c:pt idx="130">
                  <c:v>-6.8982996659853564E-6</c:v>
                </c:pt>
                <c:pt idx="131">
                  <c:v>-3.8155940908638231E-5</c:v>
                </c:pt>
                <c:pt idx="132">
                  <c:v>-3.8155940908638231E-5</c:v>
                </c:pt>
                <c:pt idx="133">
                  <c:v>-2.5437293939092156E-5</c:v>
                </c:pt>
                <c:pt idx="134">
                  <c:v>-3.8155940908638231E-5</c:v>
                </c:pt>
                <c:pt idx="135">
                  <c:v>-2.5437293939092156E-5</c:v>
                </c:pt>
                <c:pt idx="136">
                  <c:v>-2.5437293939092159E-5</c:v>
                </c:pt>
                <c:pt idx="137">
                  <c:v>-3.8155940908638231E-5</c:v>
                </c:pt>
                <c:pt idx="138">
                  <c:v>-5.0874587878184312E-5</c:v>
                </c:pt>
                <c:pt idx="139">
                  <c:v>-2.5437293939092159E-5</c:v>
                </c:pt>
                <c:pt idx="140">
                  <c:v>-2.5437293939092156E-5</c:v>
                </c:pt>
                <c:pt idx="141">
                  <c:v>-3.4491498329926788E-5</c:v>
                </c:pt>
                <c:pt idx="142">
                  <c:v>-5.0874587878184312E-5</c:v>
                </c:pt>
                <c:pt idx="143">
                  <c:v>-2.5437293939092159E-5</c:v>
                </c:pt>
                <c:pt idx="144">
                  <c:v>-6.8982996659853564E-6</c:v>
                </c:pt>
                <c:pt idx="145">
                  <c:v>-5.0874587878184312E-5</c:v>
                </c:pt>
                <c:pt idx="146">
                  <c:v>-3.8155940908638231E-5</c:v>
                </c:pt>
                <c:pt idx="147">
                  <c:v>-2.5437293939092156E-5</c:v>
                </c:pt>
                <c:pt idx="148">
                  <c:v>-2.5437293939092159E-5</c:v>
                </c:pt>
                <c:pt idx="149">
                  <c:v>-5.0874587878184312E-5</c:v>
                </c:pt>
                <c:pt idx="150">
                  <c:v>-7.4109795392936575E-4</c:v>
                </c:pt>
                <c:pt idx="151">
                  <c:v>-3.8819416634395349E-4</c:v>
                </c:pt>
                <c:pt idx="152">
                  <c:v>-7.4109795392936575E-4</c:v>
                </c:pt>
                <c:pt idx="153">
                  <c:v>-7.4109795392936575E-4</c:v>
                </c:pt>
                <c:pt idx="154">
                  <c:v>-3.8819416634395349E-4</c:v>
                </c:pt>
                <c:pt idx="155">
                  <c:v>-3.8819416634395349E-4</c:v>
                </c:pt>
                <c:pt idx="156">
                  <c:v>-5.2837539307926996E-4</c:v>
                </c:pt>
                <c:pt idx="157">
                  <c:v>-5.2837539307926996E-4</c:v>
                </c:pt>
                <c:pt idx="158">
                  <c:v>-5.2837539307926996E-4</c:v>
                </c:pt>
                <c:pt idx="159">
                  <c:v>-6.9675876010453195E-4</c:v>
                </c:pt>
                <c:pt idx="160">
                  <c:v>-6.9675876010453195E-4</c:v>
                </c:pt>
                <c:pt idx="161">
                  <c:v>-6.9675876010453195E-4</c:v>
                </c:pt>
                <c:pt idx="162">
                  <c:v>-9.8813060523915441E-4</c:v>
                </c:pt>
                <c:pt idx="163">
                  <c:v>-9.8813060523915441E-4</c:v>
                </c:pt>
                <c:pt idx="164">
                  <c:v>-9.8813060523915441E-4</c:v>
                </c:pt>
              </c:numCache>
            </c:numRef>
          </c:val>
          <c:extLst>
            <c:ext xmlns:c16="http://schemas.microsoft.com/office/drawing/2014/chart" uri="{C3380CC4-5D6E-409C-BE32-E72D297353CC}">
              <c16:uniqueId val="{00000003-F45C-465E-A516-77C650081690}"/>
            </c:ext>
          </c:extLst>
        </c:ser>
        <c:ser>
          <c:idx val="4"/>
          <c:order val="4"/>
          <c:tx>
            <c:strRef>
              <c:f>FIGURES!$G$397</c:f>
              <c:strCache>
                <c:ptCount val="1"/>
                <c:pt idx="0">
                  <c:v>Opex fix (admin, crew, insurance)</c:v>
                </c:pt>
              </c:strCache>
            </c:strRef>
          </c:tx>
          <c:spPr>
            <a:solidFill>
              <a:schemeClr val="accent5"/>
            </a:solidFill>
            <a:ln>
              <a:noFill/>
            </a:ln>
            <a:effectLst/>
          </c:spPr>
          <c:invertIfNegative val="0"/>
          <c:cat>
            <c:multiLvlStrRef>
              <c:f>FIGURES!$A$398:$B$562</c:f>
              <c:multiLvlStrCache>
                <c:ptCount val="165"/>
                <c:lvl>
                  <c:pt idx="0">
                    <c:v>Sea - Neon bulk - Heavy fuel oil</c:v>
                  </c:pt>
                  <c:pt idx="1">
                    <c:v>Sea - Dry bulk - Heavy fuel oil</c:v>
                  </c:pt>
                  <c:pt idx="2">
                    <c:v>Sea - Container - Heavy fuel oil</c:v>
                  </c:pt>
                  <c:pt idx="3">
                    <c:v>Sea - Break bulk - Heavy fuel oil</c:v>
                  </c:pt>
                  <c:pt idx="4">
                    <c:v>Rail - Dry bulk - Catenary</c:v>
                  </c:pt>
                  <c:pt idx="5">
                    <c:v>Sea - Neon bulk - Maritime gas oil</c:v>
                  </c:pt>
                  <c:pt idx="6">
                    <c:v>Sea - Dry bulk - Maritime gas oil</c:v>
                  </c:pt>
                  <c:pt idx="7">
                    <c:v>Sea - Container - Maritime gas oil</c:v>
                  </c:pt>
                  <c:pt idx="8">
                    <c:v>Sea - Break bulk - Maritime gas oil</c:v>
                  </c:pt>
                  <c:pt idx="9">
                    <c:v>Rail - Dry bulk - Diesel</c:v>
                  </c:pt>
                  <c:pt idx="10">
                    <c:v>Rail - Break bulk - Catenary</c:v>
                  </c:pt>
                  <c:pt idx="11">
                    <c:v>Rail - Dry bulk - Battery</c:v>
                  </c:pt>
                  <c:pt idx="12">
                    <c:v>Rail - Container - Catenary</c:v>
                  </c:pt>
                  <c:pt idx="13">
                    <c:v>Rail - Neon bulk - Catenary</c:v>
                  </c:pt>
                  <c:pt idx="14">
                    <c:v>Rail - Liquid bulk - Catenary</c:v>
                  </c:pt>
                  <c:pt idx="15">
                    <c:v>Rail - Break bulk - Diesel</c:v>
                  </c:pt>
                  <c:pt idx="16">
                    <c:v>Sea - Neon bulk - Ammoina</c:v>
                  </c:pt>
                  <c:pt idx="17">
                    <c:v>Sea - Dry bulk - Ammonia</c:v>
                  </c:pt>
                  <c:pt idx="18">
                    <c:v>Rail - Break bulk - Battery</c:v>
                  </c:pt>
                  <c:pt idx="19">
                    <c:v>Rail - Dry bulk - Hydrogen</c:v>
                  </c:pt>
                  <c:pt idx="20">
                    <c:v>Sea - Neon bulk - Hydrogen</c:v>
                  </c:pt>
                  <c:pt idx="21">
                    <c:v>Sea - Dry bulk - Hydrogen</c:v>
                  </c:pt>
                  <c:pt idx="22">
                    <c:v>Rail - Container - Diesel</c:v>
                  </c:pt>
                  <c:pt idx="23">
                    <c:v>Rail - Neon bulk - Diesel</c:v>
                  </c:pt>
                  <c:pt idx="24">
                    <c:v>Rail - Container - Battery</c:v>
                  </c:pt>
                  <c:pt idx="25">
                    <c:v>Rail - Liquid bulk - Diesel</c:v>
                  </c:pt>
                  <c:pt idx="26">
                    <c:v>Sea - Container - Ammonia</c:v>
                  </c:pt>
                  <c:pt idx="27">
                    <c:v>Rail - Break bulk - Hydrogen</c:v>
                  </c:pt>
                  <c:pt idx="28">
                    <c:v>Rail - Neon bulk - Battery</c:v>
                  </c:pt>
                  <c:pt idx="29">
                    <c:v>Rail - Liquid bulk - Battery</c:v>
                  </c:pt>
                  <c:pt idx="30">
                    <c:v>Sea - Break bulk - Ammonia</c:v>
                  </c:pt>
                  <c:pt idx="31">
                    <c:v>Sea - Container - Hydrogen</c:v>
                  </c:pt>
                  <c:pt idx="32">
                    <c:v>Sea - Break bulk - Hydrogen</c:v>
                  </c:pt>
                  <c:pt idx="33">
                    <c:v>Rail - Container - Hydrogen</c:v>
                  </c:pt>
                  <c:pt idx="34">
                    <c:v>Rail - Neon bulk - Hydrogen</c:v>
                  </c:pt>
                  <c:pt idx="35">
                    <c:v>Rail - Liquid bulk - Hydrogen</c:v>
                  </c:pt>
                  <c:pt idx="36">
                    <c:v>Sea - Neon bulk - Methanol</c:v>
                  </c:pt>
                  <c:pt idx="37">
                    <c:v>Sea - Dry bulk - Methanol</c:v>
                  </c:pt>
                  <c:pt idx="38">
                    <c:v>Sea - Container - Methanol</c:v>
                  </c:pt>
                  <c:pt idx="39">
                    <c:v>Sea - Break bulk - Methanol</c:v>
                  </c:pt>
                  <c:pt idx="40">
                    <c:v>Road - Liquid bulk - Diesel</c:v>
                  </c:pt>
                  <c:pt idx="41">
                    <c:v>Road - Container - Diesel</c:v>
                  </c:pt>
                  <c:pt idx="42">
                    <c:v>Road - Neon bulk - Diesel</c:v>
                  </c:pt>
                  <c:pt idx="43">
                    <c:v>Road - Liquid bulk - Battery</c:v>
                  </c:pt>
                  <c:pt idx="44">
                    <c:v>Road - Container - Battery</c:v>
                  </c:pt>
                  <c:pt idx="45">
                    <c:v>Road - Break bulk - Diesel</c:v>
                  </c:pt>
                  <c:pt idx="46">
                    <c:v>Road - Neon bulk - Battery</c:v>
                  </c:pt>
                  <c:pt idx="47">
                    <c:v>Road - Liquid bulk - Hydrogen</c:v>
                  </c:pt>
                  <c:pt idx="48">
                    <c:v>Road - Container - Hydrogen</c:v>
                  </c:pt>
                  <c:pt idx="49">
                    <c:v>Road - Break bulk - Battery</c:v>
                  </c:pt>
                  <c:pt idx="50">
                    <c:v>Road - Neon bulk - Hydrogen</c:v>
                  </c:pt>
                  <c:pt idx="51">
                    <c:v>Road - Dry bulk - Diesel</c:v>
                  </c:pt>
                  <c:pt idx="52">
                    <c:v>Road - Break bulk - Hydrogen</c:v>
                  </c:pt>
                  <c:pt idx="53">
                    <c:v>Road - Dry bulk - Battery</c:v>
                  </c:pt>
                  <c:pt idx="54">
                    <c:v>Road - Dry bulk - Hydrogen</c:v>
                  </c:pt>
                  <c:pt idx="55">
                    <c:v>Sea - Neon bulk - Heavy fuel oil</c:v>
                  </c:pt>
                  <c:pt idx="56">
                    <c:v>Sea - Dry bulk - Heavy fuel oil</c:v>
                  </c:pt>
                  <c:pt idx="57">
                    <c:v>Rail - Dry bulk - Catenary</c:v>
                  </c:pt>
                  <c:pt idx="58">
                    <c:v>Sea - Neon bulk - Maritime gas oil</c:v>
                  </c:pt>
                  <c:pt idx="59">
                    <c:v>Sea - Dry bulk - Maritime gas oil</c:v>
                  </c:pt>
                  <c:pt idx="60">
                    <c:v>Sea - Container - Heavy fuel oil</c:v>
                  </c:pt>
                  <c:pt idx="61">
                    <c:v>Sea - Break bulk - Heavy fuel oil</c:v>
                  </c:pt>
                  <c:pt idx="62">
                    <c:v>Sea - Container - Maritime gas oil</c:v>
                  </c:pt>
                  <c:pt idx="63">
                    <c:v>Rail - Dry bulk - Battery</c:v>
                  </c:pt>
                  <c:pt idx="64">
                    <c:v>Sea - Break bulk - Maritime gas oil</c:v>
                  </c:pt>
                  <c:pt idx="65">
                    <c:v>Rail - Dry bulk - Diesel</c:v>
                  </c:pt>
                  <c:pt idx="66">
                    <c:v>Rail - Break bulk - Catenary</c:v>
                  </c:pt>
                  <c:pt idx="67">
                    <c:v>Rail - Container - Catenary</c:v>
                  </c:pt>
                  <c:pt idx="68">
                    <c:v>Rail - Dry bulk - Hydrogen</c:v>
                  </c:pt>
                  <c:pt idx="69">
                    <c:v>Rail - Neon bulk - Catenary</c:v>
                  </c:pt>
                  <c:pt idx="70">
                    <c:v>Sea - Neon bulk - Ammoina</c:v>
                  </c:pt>
                  <c:pt idx="71">
                    <c:v>Sea - Dry bulk - Ammonia</c:v>
                  </c:pt>
                  <c:pt idx="72">
                    <c:v>Rail - Liquid bulk - Catenary</c:v>
                  </c:pt>
                  <c:pt idx="73">
                    <c:v>Sea - Neon bulk - Hydrogen</c:v>
                  </c:pt>
                  <c:pt idx="74">
                    <c:v>Sea - Dry bulk - Hydrogen</c:v>
                  </c:pt>
                  <c:pt idx="75">
                    <c:v>Rail - Break bulk - Battery</c:v>
                  </c:pt>
                  <c:pt idx="76">
                    <c:v>Rail - Break bulk - Diesel</c:v>
                  </c:pt>
                  <c:pt idx="77">
                    <c:v>Rail - Break bulk - Hydrogen</c:v>
                  </c:pt>
                  <c:pt idx="78">
                    <c:v>Rail - Container - Battery</c:v>
                  </c:pt>
                  <c:pt idx="79">
                    <c:v>Sea - Container - Ammonia</c:v>
                  </c:pt>
                  <c:pt idx="80">
                    <c:v>Rail - Neon bulk - Battery</c:v>
                  </c:pt>
                  <c:pt idx="81">
                    <c:v>Sea - Container - Hydrogen</c:v>
                  </c:pt>
                  <c:pt idx="82">
                    <c:v>Rail - Container - Diesel</c:v>
                  </c:pt>
                  <c:pt idx="83">
                    <c:v>Rail - Liquid bulk - Battery</c:v>
                  </c:pt>
                  <c:pt idx="84">
                    <c:v>Sea - Break bulk - Ammonia</c:v>
                  </c:pt>
                  <c:pt idx="85">
                    <c:v>Rail - Neon bulk - Diesel</c:v>
                  </c:pt>
                  <c:pt idx="86">
                    <c:v>Rail - Liquid bulk - Diesel</c:v>
                  </c:pt>
                  <c:pt idx="87">
                    <c:v>Sea - Break bulk - Hydrogen</c:v>
                  </c:pt>
                  <c:pt idx="88">
                    <c:v>Rail - Container - Hydrogen</c:v>
                  </c:pt>
                  <c:pt idx="89">
                    <c:v>Rail - Neon bulk - Hydrogen</c:v>
                  </c:pt>
                  <c:pt idx="90">
                    <c:v>Sea - Neon bulk - Methanol</c:v>
                  </c:pt>
                  <c:pt idx="91">
                    <c:v>Sea - Dry bulk - Methanol</c:v>
                  </c:pt>
                  <c:pt idx="92">
                    <c:v>Rail - Liquid bulk - Hydrogen</c:v>
                  </c:pt>
                  <c:pt idx="93">
                    <c:v>Sea - Container - Methanol</c:v>
                  </c:pt>
                  <c:pt idx="94">
                    <c:v>Sea - Break bulk - Methanol</c:v>
                  </c:pt>
                  <c:pt idx="95">
                    <c:v>Road - Liquid bulk - Battery</c:v>
                  </c:pt>
                  <c:pt idx="96">
                    <c:v>Road - Liquid bulk - Diesel</c:v>
                  </c:pt>
                  <c:pt idx="97">
                    <c:v>Road - Container - Battery</c:v>
                  </c:pt>
                  <c:pt idx="98">
                    <c:v>Road - Container - Diesel</c:v>
                  </c:pt>
                  <c:pt idx="99">
                    <c:v>Road - Neon bulk - Diesel</c:v>
                  </c:pt>
                  <c:pt idx="100">
                    <c:v>Road - Neon bulk - Battery</c:v>
                  </c:pt>
                  <c:pt idx="101">
                    <c:v>Road - Liquid bulk - Hydrogen</c:v>
                  </c:pt>
                  <c:pt idx="102">
                    <c:v>Road - Container - Hydrogen</c:v>
                  </c:pt>
                  <c:pt idx="103">
                    <c:v>Road - Neon bulk - Hydrogen</c:v>
                  </c:pt>
                  <c:pt idx="104">
                    <c:v>Road - Break bulk - Diesel</c:v>
                  </c:pt>
                  <c:pt idx="105">
                    <c:v>Road - Break bulk - Battery</c:v>
                  </c:pt>
                  <c:pt idx="106">
                    <c:v>Road - Break bulk - Hydrogen</c:v>
                  </c:pt>
                  <c:pt idx="107">
                    <c:v>Road - Dry bulk - Diesel</c:v>
                  </c:pt>
                  <c:pt idx="108">
                    <c:v>Road - Dry bulk - Battery</c:v>
                  </c:pt>
                  <c:pt idx="109">
                    <c:v>Road - Dry bulk - Hydrogen</c:v>
                  </c:pt>
                  <c:pt idx="110">
                    <c:v>Sea - Neon bulk - Heavy fuel oil</c:v>
                  </c:pt>
                  <c:pt idx="111">
                    <c:v>Sea - Dry bulk - Heavy fuel oil</c:v>
                  </c:pt>
                  <c:pt idx="112">
                    <c:v>Sea - Neon bulk - Maritime gas oil</c:v>
                  </c:pt>
                  <c:pt idx="113">
                    <c:v>Sea - Dry bulk - Maritime gas oil</c:v>
                  </c:pt>
                  <c:pt idx="114">
                    <c:v>Sea - Neon bulk - Ammoina</c:v>
                  </c:pt>
                  <c:pt idx="115">
                    <c:v>Sea - Dry bulk - Ammonia</c:v>
                  </c:pt>
                  <c:pt idx="116">
                    <c:v>Rail - Dry bulk - Catenary</c:v>
                  </c:pt>
                  <c:pt idx="117">
                    <c:v>Sea - Neon bulk - Hydrogen</c:v>
                  </c:pt>
                  <c:pt idx="118">
                    <c:v>Sea - Dry bulk - Hydrogen</c:v>
                  </c:pt>
                  <c:pt idx="119">
                    <c:v>Rail - Dry bulk - Hydrogen</c:v>
                  </c:pt>
                  <c:pt idx="120">
                    <c:v>Sea - Container - Heavy fuel oil</c:v>
                  </c:pt>
                  <c:pt idx="121">
                    <c:v>Rail - Dry bulk - Battery</c:v>
                  </c:pt>
                  <c:pt idx="122">
                    <c:v>Sea - Break bulk - Heavy fuel oil</c:v>
                  </c:pt>
                  <c:pt idx="123">
                    <c:v>Sea - Container - Maritime gas oil</c:v>
                  </c:pt>
                  <c:pt idx="124">
                    <c:v>Sea - Break bulk - Maritime gas oil</c:v>
                  </c:pt>
                  <c:pt idx="125">
                    <c:v>Sea - Container - Ammonia</c:v>
                  </c:pt>
                  <c:pt idx="126">
                    <c:v>Sea - Container - Hydrogen</c:v>
                  </c:pt>
                  <c:pt idx="127">
                    <c:v>Sea - Neon bulk - Methanol</c:v>
                  </c:pt>
                  <c:pt idx="128">
                    <c:v>Sea - Dry bulk - Methanol</c:v>
                  </c:pt>
                  <c:pt idx="129">
                    <c:v>Sea - Break bulk - Ammonia</c:v>
                  </c:pt>
                  <c:pt idx="130">
                    <c:v>Sea - Break bulk - Hydrogen</c:v>
                  </c:pt>
                  <c:pt idx="131">
                    <c:v>Rail - Dry bulk - Diesel</c:v>
                  </c:pt>
                  <c:pt idx="132">
                    <c:v>Rail - Break bulk - Catenary</c:v>
                  </c:pt>
                  <c:pt idx="133">
                    <c:v>Rail - Container - Catenary</c:v>
                  </c:pt>
                  <c:pt idx="134">
                    <c:v>Rail - Break bulk - Hydrogen</c:v>
                  </c:pt>
                  <c:pt idx="135">
                    <c:v>Rail - Container - Hydrogen</c:v>
                  </c:pt>
                  <c:pt idx="136">
                    <c:v>Rail - Neon bulk - Catenary</c:v>
                  </c:pt>
                  <c:pt idx="137">
                    <c:v>Rail - Break bulk - Battery</c:v>
                  </c:pt>
                  <c:pt idx="138">
                    <c:v>Rail - Liquid bulk - Catenary</c:v>
                  </c:pt>
                  <c:pt idx="139">
                    <c:v>Rail - Neon bulk - Hydrogen</c:v>
                  </c:pt>
                  <c:pt idx="140">
                    <c:v>Rail - Container - Battery</c:v>
                  </c:pt>
                  <c:pt idx="141">
                    <c:v>Sea - Container - Methanol</c:v>
                  </c:pt>
                  <c:pt idx="142">
                    <c:v>Rail - Liquid bulk - Hydrogen</c:v>
                  </c:pt>
                  <c:pt idx="143">
                    <c:v>Rail - Neon bulk - Battery</c:v>
                  </c:pt>
                  <c:pt idx="144">
                    <c:v>Sea - Break bulk - Methanol</c:v>
                  </c:pt>
                  <c:pt idx="145">
                    <c:v>Rail - Liquid bulk - Battery</c:v>
                  </c:pt>
                  <c:pt idx="146">
                    <c:v>Rail - Break bulk - Diesel</c:v>
                  </c:pt>
                  <c:pt idx="147">
                    <c:v>Rail - Container - Diesel</c:v>
                  </c:pt>
                  <c:pt idx="148">
                    <c:v>Rail - Neon bulk - Diesel</c:v>
                  </c:pt>
                  <c:pt idx="149">
                    <c:v>Rail - Liquid bulk - Diesel</c:v>
                  </c:pt>
                  <c:pt idx="150">
                    <c:v>Road - Liquid bulk - Battery</c:v>
                  </c:pt>
                  <c:pt idx="151">
                    <c:v>Road - Container - Battery</c:v>
                  </c:pt>
                  <c:pt idx="152">
                    <c:v>Road - Liquid bulk - Diesel</c:v>
                  </c:pt>
                  <c:pt idx="153">
                    <c:v>Road - Liquid bulk - Hydrogen</c:v>
                  </c:pt>
                  <c:pt idx="154">
                    <c:v>Road - Container - Diesel</c:v>
                  </c:pt>
                  <c:pt idx="155">
                    <c:v>Road - Container - Hydrogen</c:v>
                  </c:pt>
                  <c:pt idx="156">
                    <c:v>Road - Neon bulk - Battery</c:v>
                  </c:pt>
                  <c:pt idx="157">
                    <c:v>Road - Neon bulk - Diesel</c:v>
                  </c:pt>
                  <c:pt idx="158">
                    <c:v>Road - Neon bulk - Hydrogen</c:v>
                  </c:pt>
                  <c:pt idx="159">
                    <c:v>Road - Break bulk - Battery</c:v>
                  </c:pt>
                  <c:pt idx="160">
                    <c:v>Road - Break bulk - Diesel</c:v>
                  </c:pt>
                  <c:pt idx="161">
                    <c:v>Road - Break bulk - Hydrogen</c:v>
                  </c:pt>
                  <c:pt idx="162">
                    <c:v>Road - Dry bulk - Battery</c:v>
                  </c:pt>
                  <c:pt idx="163">
                    <c:v>Road - Dry bulk - Diesel</c:v>
                  </c:pt>
                  <c:pt idx="164">
                    <c:v>Road - Dry bulk - Hydrogen</c:v>
                  </c:pt>
                </c:lvl>
                <c:lvl>
                  <c:pt idx="0">
                    <c:v>2023</c:v>
                  </c:pt>
                  <c:pt idx="55">
                    <c:v>2034</c:v>
                  </c:pt>
                  <c:pt idx="110">
                    <c:v>2050</c:v>
                  </c:pt>
                </c:lvl>
              </c:multiLvlStrCache>
            </c:multiLvlStrRef>
          </c:cat>
          <c:val>
            <c:numRef>
              <c:f>FIGURES!$G$398:$G$562</c:f>
              <c:numCache>
                <c:formatCode>General</c:formatCode>
                <c:ptCount val="165"/>
                <c:pt idx="0">
                  <c:v>1.0654632223259673E-3</c:v>
                </c:pt>
                <c:pt idx="1">
                  <c:v>1.0654632223259673E-3</c:v>
                </c:pt>
                <c:pt idx="2">
                  <c:v>1.0654632223259673E-3</c:v>
                </c:pt>
                <c:pt idx="3">
                  <c:v>1.0654632223259673E-3</c:v>
                </c:pt>
                <c:pt idx="4">
                  <c:v>1.6256502601040416E-3</c:v>
                </c:pt>
                <c:pt idx="5">
                  <c:v>1.0654632223259673E-3</c:v>
                </c:pt>
                <c:pt idx="6">
                  <c:v>1.0654632223259673E-3</c:v>
                </c:pt>
                <c:pt idx="7">
                  <c:v>1.0654632223259673E-3</c:v>
                </c:pt>
                <c:pt idx="8">
                  <c:v>1.0654632223259673E-3</c:v>
                </c:pt>
                <c:pt idx="9">
                  <c:v>1.6256502601040416E-3</c:v>
                </c:pt>
                <c:pt idx="10">
                  <c:v>3.6264505802320927E-3</c:v>
                </c:pt>
                <c:pt idx="11">
                  <c:v>1.6256502601040416E-3</c:v>
                </c:pt>
                <c:pt idx="12">
                  <c:v>1.525610244097639E-3</c:v>
                </c:pt>
                <c:pt idx="13">
                  <c:v>1.3005202080832333E-3</c:v>
                </c:pt>
                <c:pt idx="14">
                  <c:v>1.5506202480992397E-3</c:v>
                </c:pt>
                <c:pt idx="15">
                  <c:v>3.6264505802320927E-3</c:v>
                </c:pt>
                <c:pt idx="16">
                  <c:v>1.0654632223259673E-3</c:v>
                </c:pt>
                <c:pt idx="17">
                  <c:v>1.0654632223259673E-3</c:v>
                </c:pt>
                <c:pt idx="18">
                  <c:v>3.6264505802320927E-3</c:v>
                </c:pt>
                <c:pt idx="19">
                  <c:v>1.6256502601040416E-3</c:v>
                </c:pt>
                <c:pt idx="20">
                  <c:v>1.0654632223259673E-3</c:v>
                </c:pt>
                <c:pt idx="21">
                  <c:v>1.0654632223259673E-3</c:v>
                </c:pt>
                <c:pt idx="22">
                  <c:v>1.525610244097639E-3</c:v>
                </c:pt>
                <c:pt idx="23">
                  <c:v>1.3005202080832333E-3</c:v>
                </c:pt>
                <c:pt idx="24">
                  <c:v>1.525610244097639E-3</c:v>
                </c:pt>
                <c:pt idx="25">
                  <c:v>1.5506202480992397E-3</c:v>
                </c:pt>
                <c:pt idx="26">
                  <c:v>1.0654632223259673E-3</c:v>
                </c:pt>
                <c:pt idx="27">
                  <c:v>3.6264505802320927E-3</c:v>
                </c:pt>
                <c:pt idx="28">
                  <c:v>1.3005202080832333E-3</c:v>
                </c:pt>
                <c:pt idx="29">
                  <c:v>1.5506202480992397E-3</c:v>
                </c:pt>
                <c:pt idx="30">
                  <c:v>1.0654632223259673E-3</c:v>
                </c:pt>
                <c:pt idx="31">
                  <c:v>1.0654632223259673E-3</c:v>
                </c:pt>
                <c:pt idx="32">
                  <c:v>1.0654632223259673E-3</c:v>
                </c:pt>
                <c:pt idx="33">
                  <c:v>1.525610244097639E-3</c:v>
                </c:pt>
                <c:pt idx="34">
                  <c:v>1.3005202080832333E-3</c:v>
                </c:pt>
                <c:pt idx="35">
                  <c:v>1.5506202480992397E-3</c:v>
                </c:pt>
                <c:pt idx="36">
                  <c:v>1.0654632223259673E-3</c:v>
                </c:pt>
                <c:pt idx="37">
                  <c:v>1.0654632223259673E-3</c:v>
                </c:pt>
                <c:pt idx="38">
                  <c:v>1.0654632223259673E-3</c:v>
                </c:pt>
                <c:pt idx="39">
                  <c:v>1.0654632223259673E-3</c:v>
                </c:pt>
                <c:pt idx="40">
                  <c:v>2.5454545454545455E-2</c:v>
                </c:pt>
                <c:pt idx="41">
                  <c:v>2.6666666666666665E-2</c:v>
                </c:pt>
                <c:pt idx="42">
                  <c:v>3.111111111111111E-2</c:v>
                </c:pt>
                <c:pt idx="43">
                  <c:v>2.5454545454545455E-2</c:v>
                </c:pt>
                <c:pt idx="44">
                  <c:v>2.6666666666666665E-2</c:v>
                </c:pt>
                <c:pt idx="45">
                  <c:v>3.5897435897435902E-2</c:v>
                </c:pt>
                <c:pt idx="46">
                  <c:v>3.111111111111111E-2</c:v>
                </c:pt>
                <c:pt idx="47">
                  <c:v>2.5454545454545455E-2</c:v>
                </c:pt>
                <c:pt idx="48">
                  <c:v>2.6666666666666665E-2</c:v>
                </c:pt>
                <c:pt idx="49">
                  <c:v>3.5897435897435902E-2</c:v>
                </c:pt>
                <c:pt idx="50">
                  <c:v>3.111111111111111E-2</c:v>
                </c:pt>
                <c:pt idx="51">
                  <c:v>5.0909090909090911E-2</c:v>
                </c:pt>
                <c:pt idx="52">
                  <c:v>3.5897435897435902E-2</c:v>
                </c:pt>
                <c:pt idx="53">
                  <c:v>5.0909090909090911E-2</c:v>
                </c:pt>
                <c:pt idx="54">
                  <c:v>5.0909090909090911E-2</c:v>
                </c:pt>
                <c:pt idx="55">
                  <c:v>1.0654632223259673E-3</c:v>
                </c:pt>
                <c:pt idx="56">
                  <c:v>1.0654632223259673E-3</c:v>
                </c:pt>
                <c:pt idx="57">
                  <c:v>1.6256502601040416E-3</c:v>
                </c:pt>
                <c:pt idx="58">
                  <c:v>1.0654632223259673E-3</c:v>
                </c:pt>
                <c:pt idx="59">
                  <c:v>1.0654632223259673E-3</c:v>
                </c:pt>
                <c:pt idx="60">
                  <c:v>1.0654632223259673E-3</c:v>
                </c:pt>
                <c:pt idx="61">
                  <c:v>1.0654632223259673E-3</c:v>
                </c:pt>
                <c:pt idx="62">
                  <c:v>1.0654632223259673E-3</c:v>
                </c:pt>
                <c:pt idx="63">
                  <c:v>1.6256502601040416E-3</c:v>
                </c:pt>
                <c:pt idx="64">
                  <c:v>1.0654632223259673E-3</c:v>
                </c:pt>
                <c:pt idx="65">
                  <c:v>1.6256502601040416E-3</c:v>
                </c:pt>
                <c:pt idx="66">
                  <c:v>3.6264505802320927E-3</c:v>
                </c:pt>
                <c:pt idx="67">
                  <c:v>1.525610244097639E-3</c:v>
                </c:pt>
                <c:pt idx="68">
                  <c:v>1.6256502601040416E-3</c:v>
                </c:pt>
                <c:pt idx="69">
                  <c:v>1.3005202080832333E-3</c:v>
                </c:pt>
                <c:pt idx="70">
                  <c:v>1.0654632223259673E-3</c:v>
                </c:pt>
                <c:pt idx="71">
                  <c:v>1.0654632223259673E-3</c:v>
                </c:pt>
                <c:pt idx="72">
                  <c:v>1.5506202480992397E-3</c:v>
                </c:pt>
                <c:pt idx="73">
                  <c:v>1.0654632223259673E-3</c:v>
                </c:pt>
                <c:pt idx="74">
                  <c:v>1.0654632223259673E-3</c:v>
                </c:pt>
                <c:pt idx="75">
                  <c:v>3.6264505802320927E-3</c:v>
                </c:pt>
                <c:pt idx="76">
                  <c:v>3.6264505802320927E-3</c:v>
                </c:pt>
                <c:pt idx="77">
                  <c:v>3.6264505802320927E-3</c:v>
                </c:pt>
                <c:pt idx="78">
                  <c:v>1.525610244097639E-3</c:v>
                </c:pt>
                <c:pt idx="79">
                  <c:v>1.0654632223259673E-3</c:v>
                </c:pt>
                <c:pt idx="80">
                  <c:v>1.3005202080832333E-3</c:v>
                </c:pt>
                <c:pt idx="81">
                  <c:v>1.0654632223259673E-3</c:v>
                </c:pt>
                <c:pt idx="82">
                  <c:v>1.525610244097639E-3</c:v>
                </c:pt>
                <c:pt idx="83">
                  <c:v>1.5506202480992397E-3</c:v>
                </c:pt>
                <c:pt idx="84">
                  <c:v>1.0654632223259673E-3</c:v>
                </c:pt>
                <c:pt idx="85">
                  <c:v>1.3005202080832333E-3</c:v>
                </c:pt>
                <c:pt idx="86">
                  <c:v>1.5506202480992397E-3</c:v>
                </c:pt>
                <c:pt idx="87">
                  <c:v>1.0654632223259673E-3</c:v>
                </c:pt>
                <c:pt idx="88">
                  <c:v>1.525610244097639E-3</c:v>
                </c:pt>
                <c:pt idx="89">
                  <c:v>1.3005202080832333E-3</c:v>
                </c:pt>
                <c:pt idx="90">
                  <c:v>1.0654632223259673E-3</c:v>
                </c:pt>
                <c:pt idx="91">
                  <c:v>1.0654632223259673E-3</c:v>
                </c:pt>
                <c:pt idx="92">
                  <c:v>1.5506202480992397E-3</c:v>
                </c:pt>
                <c:pt idx="93">
                  <c:v>1.0654632223259673E-3</c:v>
                </c:pt>
                <c:pt idx="94">
                  <c:v>1.0654632223259673E-3</c:v>
                </c:pt>
                <c:pt idx="95">
                  <c:v>2.5454545454545455E-2</c:v>
                </c:pt>
                <c:pt idx="96">
                  <c:v>2.5454545454545455E-2</c:v>
                </c:pt>
                <c:pt idx="97">
                  <c:v>2.6666666666666665E-2</c:v>
                </c:pt>
                <c:pt idx="98">
                  <c:v>2.6666666666666665E-2</c:v>
                </c:pt>
                <c:pt idx="99">
                  <c:v>3.111111111111111E-2</c:v>
                </c:pt>
                <c:pt idx="100">
                  <c:v>3.111111111111111E-2</c:v>
                </c:pt>
                <c:pt idx="101">
                  <c:v>2.5454545454545455E-2</c:v>
                </c:pt>
                <c:pt idx="102">
                  <c:v>2.6666666666666665E-2</c:v>
                </c:pt>
                <c:pt idx="103">
                  <c:v>3.111111111111111E-2</c:v>
                </c:pt>
                <c:pt idx="104">
                  <c:v>3.5897435897435902E-2</c:v>
                </c:pt>
                <c:pt idx="105">
                  <c:v>3.5897435897435902E-2</c:v>
                </c:pt>
                <c:pt idx="106">
                  <c:v>3.5897435897435902E-2</c:v>
                </c:pt>
                <c:pt idx="107">
                  <c:v>5.0909090909090911E-2</c:v>
                </c:pt>
                <c:pt idx="108">
                  <c:v>5.0909090909090911E-2</c:v>
                </c:pt>
                <c:pt idx="109">
                  <c:v>5.0909090909090911E-2</c:v>
                </c:pt>
                <c:pt idx="110">
                  <c:v>1.0654632223259673E-3</c:v>
                </c:pt>
                <c:pt idx="111">
                  <c:v>1.0654632223259673E-3</c:v>
                </c:pt>
                <c:pt idx="112">
                  <c:v>1.0654632223259673E-3</c:v>
                </c:pt>
                <c:pt idx="113">
                  <c:v>1.0654632223259673E-3</c:v>
                </c:pt>
                <c:pt idx="114">
                  <c:v>1.0654632223259673E-3</c:v>
                </c:pt>
                <c:pt idx="115">
                  <c:v>1.0654632223259673E-3</c:v>
                </c:pt>
                <c:pt idx="116">
                  <c:v>1.6256502601040416E-3</c:v>
                </c:pt>
                <c:pt idx="117">
                  <c:v>1.0654632223259673E-3</c:v>
                </c:pt>
                <c:pt idx="118">
                  <c:v>1.0654632223259673E-3</c:v>
                </c:pt>
                <c:pt idx="119">
                  <c:v>1.6256502601040416E-3</c:v>
                </c:pt>
                <c:pt idx="120">
                  <c:v>1.0654632223259673E-3</c:v>
                </c:pt>
                <c:pt idx="121">
                  <c:v>1.6256502601040416E-3</c:v>
                </c:pt>
                <c:pt idx="122">
                  <c:v>1.0654632223259673E-3</c:v>
                </c:pt>
                <c:pt idx="123">
                  <c:v>1.0654632223259673E-3</c:v>
                </c:pt>
                <c:pt idx="124">
                  <c:v>1.0654632223259673E-3</c:v>
                </c:pt>
                <c:pt idx="125">
                  <c:v>1.0654632223259673E-3</c:v>
                </c:pt>
                <c:pt idx="126">
                  <c:v>1.0654632223259673E-3</c:v>
                </c:pt>
                <c:pt idx="127">
                  <c:v>1.0654632223259673E-3</c:v>
                </c:pt>
                <c:pt idx="128">
                  <c:v>1.0654632223259673E-3</c:v>
                </c:pt>
                <c:pt idx="129">
                  <c:v>1.0654632223259673E-3</c:v>
                </c:pt>
                <c:pt idx="130">
                  <c:v>1.0654632223259673E-3</c:v>
                </c:pt>
                <c:pt idx="131">
                  <c:v>1.6256502601040416E-3</c:v>
                </c:pt>
                <c:pt idx="132">
                  <c:v>3.6264505802320927E-3</c:v>
                </c:pt>
                <c:pt idx="133">
                  <c:v>1.525610244097639E-3</c:v>
                </c:pt>
                <c:pt idx="134">
                  <c:v>3.6264505802320927E-3</c:v>
                </c:pt>
                <c:pt idx="135">
                  <c:v>1.525610244097639E-3</c:v>
                </c:pt>
                <c:pt idx="136">
                  <c:v>1.3005202080832333E-3</c:v>
                </c:pt>
                <c:pt idx="137">
                  <c:v>3.6264505802320927E-3</c:v>
                </c:pt>
                <c:pt idx="138">
                  <c:v>1.5506202480992397E-3</c:v>
                </c:pt>
                <c:pt idx="139">
                  <c:v>1.3005202080832333E-3</c:v>
                </c:pt>
                <c:pt idx="140">
                  <c:v>1.525610244097639E-3</c:v>
                </c:pt>
                <c:pt idx="141">
                  <c:v>1.0654632223259673E-3</c:v>
                </c:pt>
                <c:pt idx="142">
                  <c:v>1.5506202480992397E-3</c:v>
                </c:pt>
                <c:pt idx="143">
                  <c:v>1.3005202080832333E-3</c:v>
                </c:pt>
                <c:pt idx="144">
                  <c:v>1.0654632223259673E-3</c:v>
                </c:pt>
                <c:pt idx="145">
                  <c:v>1.5506202480992397E-3</c:v>
                </c:pt>
                <c:pt idx="146">
                  <c:v>3.6264505802320927E-3</c:v>
                </c:pt>
                <c:pt idx="147">
                  <c:v>1.525610244097639E-3</c:v>
                </c:pt>
                <c:pt idx="148">
                  <c:v>1.3005202080832333E-3</c:v>
                </c:pt>
                <c:pt idx="149">
                  <c:v>1.5506202480992397E-3</c:v>
                </c:pt>
                <c:pt idx="150">
                  <c:v>2.5454545454545455E-2</c:v>
                </c:pt>
                <c:pt idx="151">
                  <c:v>2.6666666666666665E-2</c:v>
                </c:pt>
                <c:pt idx="152">
                  <c:v>2.5454545454545455E-2</c:v>
                </c:pt>
                <c:pt idx="153">
                  <c:v>2.5454545454545455E-2</c:v>
                </c:pt>
                <c:pt idx="154">
                  <c:v>2.6666666666666665E-2</c:v>
                </c:pt>
                <c:pt idx="155">
                  <c:v>2.6666666666666665E-2</c:v>
                </c:pt>
                <c:pt idx="156">
                  <c:v>3.111111111111111E-2</c:v>
                </c:pt>
                <c:pt idx="157">
                  <c:v>3.111111111111111E-2</c:v>
                </c:pt>
                <c:pt idx="158">
                  <c:v>3.111111111111111E-2</c:v>
                </c:pt>
                <c:pt idx="159">
                  <c:v>3.5897435897435902E-2</c:v>
                </c:pt>
                <c:pt idx="160">
                  <c:v>3.5897435897435902E-2</c:v>
                </c:pt>
                <c:pt idx="161">
                  <c:v>3.5897435897435902E-2</c:v>
                </c:pt>
                <c:pt idx="162">
                  <c:v>5.0909090909090911E-2</c:v>
                </c:pt>
                <c:pt idx="163">
                  <c:v>5.0909090909090911E-2</c:v>
                </c:pt>
                <c:pt idx="164">
                  <c:v>5.0909090909090911E-2</c:v>
                </c:pt>
              </c:numCache>
            </c:numRef>
          </c:val>
          <c:extLst>
            <c:ext xmlns:c16="http://schemas.microsoft.com/office/drawing/2014/chart" uri="{C3380CC4-5D6E-409C-BE32-E72D297353CC}">
              <c16:uniqueId val="{00000004-F45C-465E-A516-77C650081690}"/>
            </c:ext>
          </c:extLst>
        </c:ser>
        <c:ser>
          <c:idx val="5"/>
          <c:order val="5"/>
          <c:tx>
            <c:strRef>
              <c:f>FIGURES!$H$397</c:f>
              <c:strCache>
                <c:ptCount val="1"/>
                <c:pt idx="0">
                  <c:v>Opex maintenance &amp; repair</c:v>
                </c:pt>
              </c:strCache>
            </c:strRef>
          </c:tx>
          <c:spPr>
            <a:solidFill>
              <a:schemeClr val="accent6"/>
            </a:solidFill>
            <a:ln>
              <a:noFill/>
            </a:ln>
            <a:effectLst/>
          </c:spPr>
          <c:invertIfNegative val="0"/>
          <c:cat>
            <c:multiLvlStrRef>
              <c:f>FIGURES!$A$398:$B$562</c:f>
              <c:multiLvlStrCache>
                <c:ptCount val="165"/>
                <c:lvl>
                  <c:pt idx="0">
                    <c:v>Sea - Neon bulk - Heavy fuel oil</c:v>
                  </c:pt>
                  <c:pt idx="1">
                    <c:v>Sea - Dry bulk - Heavy fuel oil</c:v>
                  </c:pt>
                  <c:pt idx="2">
                    <c:v>Sea - Container - Heavy fuel oil</c:v>
                  </c:pt>
                  <c:pt idx="3">
                    <c:v>Sea - Break bulk - Heavy fuel oil</c:v>
                  </c:pt>
                  <c:pt idx="4">
                    <c:v>Rail - Dry bulk - Catenary</c:v>
                  </c:pt>
                  <c:pt idx="5">
                    <c:v>Sea - Neon bulk - Maritime gas oil</c:v>
                  </c:pt>
                  <c:pt idx="6">
                    <c:v>Sea - Dry bulk - Maritime gas oil</c:v>
                  </c:pt>
                  <c:pt idx="7">
                    <c:v>Sea - Container - Maritime gas oil</c:v>
                  </c:pt>
                  <c:pt idx="8">
                    <c:v>Sea - Break bulk - Maritime gas oil</c:v>
                  </c:pt>
                  <c:pt idx="9">
                    <c:v>Rail - Dry bulk - Diesel</c:v>
                  </c:pt>
                  <c:pt idx="10">
                    <c:v>Rail - Break bulk - Catenary</c:v>
                  </c:pt>
                  <c:pt idx="11">
                    <c:v>Rail - Dry bulk - Battery</c:v>
                  </c:pt>
                  <c:pt idx="12">
                    <c:v>Rail - Container - Catenary</c:v>
                  </c:pt>
                  <c:pt idx="13">
                    <c:v>Rail - Neon bulk - Catenary</c:v>
                  </c:pt>
                  <c:pt idx="14">
                    <c:v>Rail - Liquid bulk - Catenary</c:v>
                  </c:pt>
                  <c:pt idx="15">
                    <c:v>Rail - Break bulk - Diesel</c:v>
                  </c:pt>
                  <c:pt idx="16">
                    <c:v>Sea - Neon bulk - Ammoina</c:v>
                  </c:pt>
                  <c:pt idx="17">
                    <c:v>Sea - Dry bulk - Ammonia</c:v>
                  </c:pt>
                  <c:pt idx="18">
                    <c:v>Rail - Break bulk - Battery</c:v>
                  </c:pt>
                  <c:pt idx="19">
                    <c:v>Rail - Dry bulk - Hydrogen</c:v>
                  </c:pt>
                  <c:pt idx="20">
                    <c:v>Sea - Neon bulk - Hydrogen</c:v>
                  </c:pt>
                  <c:pt idx="21">
                    <c:v>Sea - Dry bulk - Hydrogen</c:v>
                  </c:pt>
                  <c:pt idx="22">
                    <c:v>Rail - Container - Diesel</c:v>
                  </c:pt>
                  <c:pt idx="23">
                    <c:v>Rail - Neon bulk - Diesel</c:v>
                  </c:pt>
                  <c:pt idx="24">
                    <c:v>Rail - Container - Battery</c:v>
                  </c:pt>
                  <c:pt idx="25">
                    <c:v>Rail - Liquid bulk - Diesel</c:v>
                  </c:pt>
                  <c:pt idx="26">
                    <c:v>Sea - Container - Ammonia</c:v>
                  </c:pt>
                  <c:pt idx="27">
                    <c:v>Rail - Break bulk - Hydrogen</c:v>
                  </c:pt>
                  <c:pt idx="28">
                    <c:v>Rail - Neon bulk - Battery</c:v>
                  </c:pt>
                  <c:pt idx="29">
                    <c:v>Rail - Liquid bulk - Battery</c:v>
                  </c:pt>
                  <c:pt idx="30">
                    <c:v>Sea - Break bulk - Ammonia</c:v>
                  </c:pt>
                  <c:pt idx="31">
                    <c:v>Sea - Container - Hydrogen</c:v>
                  </c:pt>
                  <c:pt idx="32">
                    <c:v>Sea - Break bulk - Hydrogen</c:v>
                  </c:pt>
                  <c:pt idx="33">
                    <c:v>Rail - Container - Hydrogen</c:v>
                  </c:pt>
                  <c:pt idx="34">
                    <c:v>Rail - Neon bulk - Hydrogen</c:v>
                  </c:pt>
                  <c:pt idx="35">
                    <c:v>Rail - Liquid bulk - Hydrogen</c:v>
                  </c:pt>
                  <c:pt idx="36">
                    <c:v>Sea - Neon bulk - Methanol</c:v>
                  </c:pt>
                  <c:pt idx="37">
                    <c:v>Sea - Dry bulk - Methanol</c:v>
                  </c:pt>
                  <c:pt idx="38">
                    <c:v>Sea - Container - Methanol</c:v>
                  </c:pt>
                  <c:pt idx="39">
                    <c:v>Sea - Break bulk - Methanol</c:v>
                  </c:pt>
                  <c:pt idx="40">
                    <c:v>Road - Liquid bulk - Diesel</c:v>
                  </c:pt>
                  <c:pt idx="41">
                    <c:v>Road - Container - Diesel</c:v>
                  </c:pt>
                  <c:pt idx="42">
                    <c:v>Road - Neon bulk - Diesel</c:v>
                  </c:pt>
                  <c:pt idx="43">
                    <c:v>Road - Liquid bulk - Battery</c:v>
                  </c:pt>
                  <c:pt idx="44">
                    <c:v>Road - Container - Battery</c:v>
                  </c:pt>
                  <c:pt idx="45">
                    <c:v>Road - Break bulk - Diesel</c:v>
                  </c:pt>
                  <c:pt idx="46">
                    <c:v>Road - Neon bulk - Battery</c:v>
                  </c:pt>
                  <c:pt idx="47">
                    <c:v>Road - Liquid bulk - Hydrogen</c:v>
                  </c:pt>
                  <c:pt idx="48">
                    <c:v>Road - Container - Hydrogen</c:v>
                  </c:pt>
                  <c:pt idx="49">
                    <c:v>Road - Break bulk - Battery</c:v>
                  </c:pt>
                  <c:pt idx="50">
                    <c:v>Road - Neon bulk - Hydrogen</c:v>
                  </c:pt>
                  <c:pt idx="51">
                    <c:v>Road - Dry bulk - Diesel</c:v>
                  </c:pt>
                  <c:pt idx="52">
                    <c:v>Road - Break bulk - Hydrogen</c:v>
                  </c:pt>
                  <c:pt idx="53">
                    <c:v>Road - Dry bulk - Battery</c:v>
                  </c:pt>
                  <c:pt idx="54">
                    <c:v>Road - Dry bulk - Hydrogen</c:v>
                  </c:pt>
                  <c:pt idx="55">
                    <c:v>Sea - Neon bulk - Heavy fuel oil</c:v>
                  </c:pt>
                  <c:pt idx="56">
                    <c:v>Sea - Dry bulk - Heavy fuel oil</c:v>
                  </c:pt>
                  <c:pt idx="57">
                    <c:v>Rail - Dry bulk - Catenary</c:v>
                  </c:pt>
                  <c:pt idx="58">
                    <c:v>Sea - Neon bulk - Maritime gas oil</c:v>
                  </c:pt>
                  <c:pt idx="59">
                    <c:v>Sea - Dry bulk - Maritime gas oil</c:v>
                  </c:pt>
                  <c:pt idx="60">
                    <c:v>Sea - Container - Heavy fuel oil</c:v>
                  </c:pt>
                  <c:pt idx="61">
                    <c:v>Sea - Break bulk - Heavy fuel oil</c:v>
                  </c:pt>
                  <c:pt idx="62">
                    <c:v>Sea - Container - Maritime gas oil</c:v>
                  </c:pt>
                  <c:pt idx="63">
                    <c:v>Rail - Dry bulk - Battery</c:v>
                  </c:pt>
                  <c:pt idx="64">
                    <c:v>Sea - Break bulk - Maritime gas oil</c:v>
                  </c:pt>
                  <c:pt idx="65">
                    <c:v>Rail - Dry bulk - Diesel</c:v>
                  </c:pt>
                  <c:pt idx="66">
                    <c:v>Rail - Break bulk - Catenary</c:v>
                  </c:pt>
                  <c:pt idx="67">
                    <c:v>Rail - Container - Catenary</c:v>
                  </c:pt>
                  <c:pt idx="68">
                    <c:v>Rail - Dry bulk - Hydrogen</c:v>
                  </c:pt>
                  <c:pt idx="69">
                    <c:v>Rail - Neon bulk - Catenary</c:v>
                  </c:pt>
                  <c:pt idx="70">
                    <c:v>Sea - Neon bulk - Ammoina</c:v>
                  </c:pt>
                  <c:pt idx="71">
                    <c:v>Sea - Dry bulk - Ammonia</c:v>
                  </c:pt>
                  <c:pt idx="72">
                    <c:v>Rail - Liquid bulk - Catenary</c:v>
                  </c:pt>
                  <c:pt idx="73">
                    <c:v>Sea - Neon bulk - Hydrogen</c:v>
                  </c:pt>
                  <c:pt idx="74">
                    <c:v>Sea - Dry bulk - Hydrogen</c:v>
                  </c:pt>
                  <c:pt idx="75">
                    <c:v>Rail - Break bulk - Battery</c:v>
                  </c:pt>
                  <c:pt idx="76">
                    <c:v>Rail - Break bulk - Diesel</c:v>
                  </c:pt>
                  <c:pt idx="77">
                    <c:v>Rail - Break bulk - Hydrogen</c:v>
                  </c:pt>
                  <c:pt idx="78">
                    <c:v>Rail - Container - Battery</c:v>
                  </c:pt>
                  <c:pt idx="79">
                    <c:v>Sea - Container - Ammonia</c:v>
                  </c:pt>
                  <c:pt idx="80">
                    <c:v>Rail - Neon bulk - Battery</c:v>
                  </c:pt>
                  <c:pt idx="81">
                    <c:v>Sea - Container - Hydrogen</c:v>
                  </c:pt>
                  <c:pt idx="82">
                    <c:v>Rail - Container - Diesel</c:v>
                  </c:pt>
                  <c:pt idx="83">
                    <c:v>Rail - Liquid bulk - Battery</c:v>
                  </c:pt>
                  <c:pt idx="84">
                    <c:v>Sea - Break bulk - Ammonia</c:v>
                  </c:pt>
                  <c:pt idx="85">
                    <c:v>Rail - Neon bulk - Diesel</c:v>
                  </c:pt>
                  <c:pt idx="86">
                    <c:v>Rail - Liquid bulk - Diesel</c:v>
                  </c:pt>
                  <c:pt idx="87">
                    <c:v>Sea - Break bulk - Hydrogen</c:v>
                  </c:pt>
                  <c:pt idx="88">
                    <c:v>Rail - Container - Hydrogen</c:v>
                  </c:pt>
                  <c:pt idx="89">
                    <c:v>Rail - Neon bulk - Hydrogen</c:v>
                  </c:pt>
                  <c:pt idx="90">
                    <c:v>Sea - Neon bulk - Methanol</c:v>
                  </c:pt>
                  <c:pt idx="91">
                    <c:v>Sea - Dry bulk - Methanol</c:v>
                  </c:pt>
                  <c:pt idx="92">
                    <c:v>Rail - Liquid bulk - Hydrogen</c:v>
                  </c:pt>
                  <c:pt idx="93">
                    <c:v>Sea - Container - Methanol</c:v>
                  </c:pt>
                  <c:pt idx="94">
                    <c:v>Sea - Break bulk - Methanol</c:v>
                  </c:pt>
                  <c:pt idx="95">
                    <c:v>Road - Liquid bulk - Battery</c:v>
                  </c:pt>
                  <c:pt idx="96">
                    <c:v>Road - Liquid bulk - Diesel</c:v>
                  </c:pt>
                  <c:pt idx="97">
                    <c:v>Road - Container - Battery</c:v>
                  </c:pt>
                  <c:pt idx="98">
                    <c:v>Road - Container - Diesel</c:v>
                  </c:pt>
                  <c:pt idx="99">
                    <c:v>Road - Neon bulk - Diesel</c:v>
                  </c:pt>
                  <c:pt idx="100">
                    <c:v>Road - Neon bulk - Battery</c:v>
                  </c:pt>
                  <c:pt idx="101">
                    <c:v>Road - Liquid bulk - Hydrogen</c:v>
                  </c:pt>
                  <c:pt idx="102">
                    <c:v>Road - Container - Hydrogen</c:v>
                  </c:pt>
                  <c:pt idx="103">
                    <c:v>Road - Neon bulk - Hydrogen</c:v>
                  </c:pt>
                  <c:pt idx="104">
                    <c:v>Road - Break bulk - Diesel</c:v>
                  </c:pt>
                  <c:pt idx="105">
                    <c:v>Road - Break bulk - Battery</c:v>
                  </c:pt>
                  <c:pt idx="106">
                    <c:v>Road - Break bulk - Hydrogen</c:v>
                  </c:pt>
                  <c:pt idx="107">
                    <c:v>Road - Dry bulk - Diesel</c:v>
                  </c:pt>
                  <c:pt idx="108">
                    <c:v>Road - Dry bulk - Battery</c:v>
                  </c:pt>
                  <c:pt idx="109">
                    <c:v>Road - Dry bulk - Hydrogen</c:v>
                  </c:pt>
                  <c:pt idx="110">
                    <c:v>Sea - Neon bulk - Heavy fuel oil</c:v>
                  </c:pt>
                  <c:pt idx="111">
                    <c:v>Sea - Dry bulk - Heavy fuel oil</c:v>
                  </c:pt>
                  <c:pt idx="112">
                    <c:v>Sea - Neon bulk - Maritime gas oil</c:v>
                  </c:pt>
                  <c:pt idx="113">
                    <c:v>Sea - Dry bulk - Maritime gas oil</c:v>
                  </c:pt>
                  <c:pt idx="114">
                    <c:v>Sea - Neon bulk - Ammoina</c:v>
                  </c:pt>
                  <c:pt idx="115">
                    <c:v>Sea - Dry bulk - Ammonia</c:v>
                  </c:pt>
                  <c:pt idx="116">
                    <c:v>Rail - Dry bulk - Catenary</c:v>
                  </c:pt>
                  <c:pt idx="117">
                    <c:v>Sea - Neon bulk - Hydrogen</c:v>
                  </c:pt>
                  <c:pt idx="118">
                    <c:v>Sea - Dry bulk - Hydrogen</c:v>
                  </c:pt>
                  <c:pt idx="119">
                    <c:v>Rail - Dry bulk - Hydrogen</c:v>
                  </c:pt>
                  <c:pt idx="120">
                    <c:v>Sea - Container - Heavy fuel oil</c:v>
                  </c:pt>
                  <c:pt idx="121">
                    <c:v>Rail - Dry bulk - Battery</c:v>
                  </c:pt>
                  <c:pt idx="122">
                    <c:v>Sea - Break bulk - Heavy fuel oil</c:v>
                  </c:pt>
                  <c:pt idx="123">
                    <c:v>Sea - Container - Maritime gas oil</c:v>
                  </c:pt>
                  <c:pt idx="124">
                    <c:v>Sea - Break bulk - Maritime gas oil</c:v>
                  </c:pt>
                  <c:pt idx="125">
                    <c:v>Sea - Container - Ammonia</c:v>
                  </c:pt>
                  <c:pt idx="126">
                    <c:v>Sea - Container - Hydrogen</c:v>
                  </c:pt>
                  <c:pt idx="127">
                    <c:v>Sea - Neon bulk - Methanol</c:v>
                  </c:pt>
                  <c:pt idx="128">
                    <c:v>Sea - Dry bulk - Methanol</c:v>
                  </c:pt>
                  <c:pt idx="129">
                    <c:v>Sea - Break bulk - Ammonia</c:v>
                  </c:pt>
                  <c:pt idx="130">
                    <c:v>Sea - Break bulk - Hydrogen</c:v>
                  </c:pt>
                  <c:pt idx="131">
                    <c:v>Rail - Dry bulk - Diesel</c:v>
                  </c:pt>
                  <c:pt idx="132">
                    <c:v>Rail - Break bulk - Catenary</c:v>
                  </c:pt>
                  <c:pt idx="133">
                    <c:v>Rail - Container - Catenary</c:v>
                  </c:pt>
                  <c:pt idx="134">
                    <c:v>Rail - Break bulk - Hydrogen</c:v>
                  </c:pt>
                  <c:pt idx="135">
                    <c:v>Rail - Container - Hydrogen</c:v>
                  </c:pt>
                  <c:pt idx="136">
                    <c:v>Rail - Neon bulk - Catenary</c:v>
                  </c:pt>
                  <c:pt idx="137">
                    <c:v>Rail - Break bulk - Battery</c:v>
                  </c:pt>
                  <c:pt idx="138">
                    <c:v>Rail - Liquid bulk - Catenary</c:v>
                  </c:pt>
                  <c:pt idx="139">
                    <c:v>Rail - Neon bulk - Hydrogen</c:v>
                  </c:pt>
                  <c:pt idx="140">
                    <c:v>Rail - Container - Battery</c:v>
                  </c:pt>
                  <c:pt idx="141">
                    <c:v>Sea - Container - Methanol</c:v>
                  </c:pt>
                  <c:pt idx="142">
                    <c:v>Rail - Liquid bulk - Hydrogen</c:v>
                  </c:pt>
                  <c:pt idx="143">
                    <c:v>Rail - Neon bulk - Battery</c:v>
                  </c:pt>
                  <c:pt idx="144">
                    <c:v>Sea - Break bulk - Methanol</c:v>
                  </c:pt>
                  <c:pt idx="145">
                    <c:v>Rail - Liquid bulk - Battery</c:v>
                  </c:pt>
                  <c:pt idx="146">
                    <c:v>Rail - Break bulk - Diesel</c:v>
                  </c:pt>
                  <c:pt idx="147">
                    <c:v>Rail - Container - Diesel</c:v>
                  </c:pt>
                  <c:pt idx="148">
                    <c:v>Rail - Neon bulk - Diesel</c:v>
                  </c:pt>
                  <c:pt idx="149">
                    <c:v>Rail - Liquid bulk - Diesel</c:v>
                  </c:pt>
                  <c:pt idx="150">
                    <c:v>Road - Liquid bulk - Battery</c:v>
                  </c:pt>
                  <c:pt idx="151">
                    <c:v>Road - Container - Battery</c:v>
                  </c:pt>
                  <c:pt idx="152">
                    <c:v>Road - Liquid bulk - Diesel</c:v>
                  </c:pt>
                  <c:pt idx="153">
                    <c:v>Road - Liquid bulk - Hydrogen</c:v>
                  </c:pt>
                  <c:pt idx="154">
                    <c:v>Road - Container - Diesel</c:v>
                  </c:pt>
                  <c:pt idx="155">
                    <c:v>Road - Container - Hydrogen</c:v>
                  </c:pt>
                  <c:pt idx="156">
                    <c:v>Road - Neon bulk - Battery</c:v>
                  </c:pt>
                  <c:pt idx="157">
                    <c:v>Road - Neon bulk - Diesel</c:v>
                  </c:pt>
                  <c:pt idx="158">
                    <c:v>Road - Neon bulk - Hydrogen</c:v>
                  </c:pt>
                  <c:pt idx="159">
                    <c:v>Road - Break bulk - Battery</c:v>
                  </c:pt>
                  <c:pt idx="160">
                    <c:v>Road - Break bulk - Diesel</c:v>
                  </c:pt>
                  <c:pt idx="161">
                    <c:v>Road - Break bulk - Hydrogen</c:v>
                  </c:pt>
                  <c:pt idx="162">
                    <c:v>Road - Dry bulk - Battery</c:v>
                  </c:pt>
                  <c:pt idx="163">
                    <c:v>Road - Dry bulk - Diesel</c:v>
                  </c:pt>
                  <c:pt idx="164">
                    <c:v>Road - Dry bulk - Hydrogen</c:v>
                  </c:pt>
                </c:lvl>
                <c:lvl>
                  <c:pt idx="0">
                    <c:v>2023</c:v>
                  </c:pt>
                  <c:pt idx="55">
                    <c:v>2034</c:v>
                  </c:pt>
                  <c:pt idx="110">
                    <c:v>2050</c:v>
                  </c:pt>
                </c:lvl>
              </c:multiLvlStrCache>
            </c:multiLvlStrRef>
          </c:cat>
          <c:val>
            <c:numRef>
              <c:f>FIGURES!$H$398:$H$562</c:f>
              <c:numCache>
                <c:formatCode>General</c:formatCode>
                <c:ptCount val="165"/>
                <c:pt idx="0">
                  <c:v>4.305425874053325E-4</c:v>
                </c:pt>
                <c:pt idx="1">
                  <c:v>4.305425874053325E-4</c:v>
                </c:pt>
                <c:pt idx="2">
                  <c:v>4.305425874053325E-4</c:v>
                </c:pt>
                <c:pt idx="3">
                  <c:v>4.305425874053325E-4</c:v>
                </c:pt>
                <c:pt idx="4">
                  <c:v>1.6256502601040416E-3</c:v>
                </c:pt>
                <c:pt idx="5">
                  <c:v>4.305425874053325E-4</c:v>
                </c:pt>
                <c:pt idx="6">
                  <c:v>4.305425874053325E-4</c:v>
                </c:pt>
                <c:pt idx="7">
                  <c:v>4.305425874053325E-4</c:v>
                </c:pt>
                <c:pt idx="8">
                  <c:v>4.305425874053325E-4</c:v>
                </c:pt>
                <c:pt idx="9">
                  <c:v>2.6260504201680674E-3</c:v>
                </c:pt>
                <c:pt idx="10">
                  <c:v>1.6256502601040416E-3</c:v>
                </c:pt>
                <c:pt idx="11">
                  <c:v>3.235203975384487E-3</c:v>
                </c:pt>
                <c:pt idx="12">
                  <c:v>1.6256502601040416E-3</c:v>
                </c:pt>
                <c:pt idx="13">
                  <c:v>1.3005202080832333E-3</c:v>
                </c:pt>
                <c:pt idx="14">
                  <c:v>1.6256502601040416E-3</c:v>
                </c:pt>
                <c:pt idx="15">
                  <c:v>2.6260504201680674E-3</c:v>
                </c:pt>
                <c:pt idx="16">
                  <c:v>2.9878618113912231E-4</c:v>
                </c:pt>
                <c:pt idx="17">
                  <c:v>2.9878618113912231E-4</c:v>
                </c:pt>
                <c:pt idx="18">
                  <c:v>3.235203975384487E-3</c:v>
                </c:pt>
                <c:pt idx="19">
                  <c:v>3.4736649752972778E-3</c:v>
                </c:pt>
                <c:pt idx="20">
                  <c:v>2.9878618113912231E-4</c:v>
                </c:pt>
                <c:pt idx="21">
                  <c:v>2.9878618113912231E-4</c:v>
                </c:pt>
                <c:pt idx="22">
                  <c:v>2.6260504201680674E-3</c:v>
                </c:pt>
                <c:pt idx="23">
                  <c:v>2.1008403361344541E-3</c:v>
                </c:pt>
                <c:pt idx="24">
                  <c:v>3.235203975384487E-3</c:v>
                </c:pt>
                <c:pt idx="25">
                  <c:v>2.6260504201680674E-3</c:v>
                </c:pt>
                <c:pt idx="26">
                  <c:v>2.9878618113912231E-4</c:v>
                </c:pt>
                <c:pt idx="27">
                  <c:v>3.4736649752972778E-3</c:v>
                </c:pt>
                <c:pt idx="28">
                  <c:v>2.5881631803075897E-3</c:v>
                </c:pt>
                <c:pt idx="29">
                  <c:v>3.235203975384487E-3</c:v>
                </c:pt>
                <c:pt idx="30">
                  <c:v>2.9878618113912231E-4</c:v>
                </c:pt>
                <c:pt idx="31">
                  <c:v>2.9878618113912231E-4</c:v>
                </c:pt>
                <c:pt idx="32">
                  <c:v>2.9878618113912231E-4</c:v>
                </c:pt>
                <c:pt idx="33">
                  <c:v>3.4736649752972778E-3</c:v>
                </c:pt>
                <c:pt idx="34">
                  <c:v>2.7789319802378224E-3</c:v>
                </c:pt>
                <c:pt idx="35">
                  <c:v>3.4736649752972778E-3</c:v>
                </c:pt>
                <c:pt idx="36">
                  <c:v>4.305425874053325E-4</c:v>
                </c:pt>
                <c:pt idx="37">
                  <c:v>4.305425874053325E-4</c:v>
                </c:pt>
                <c:pt idx="38">
                  <c:v>4.305425874053325E-4</c:v>
                </c:pt>
                <c:pt idx="39">
                  <c:v>4.305425874053325E-4</c:v>
                </c:pt>
                <c:pt idx="40">
                  <c:v>7.2727272727272727E-3</c:v>
                </c:pt>
                <c:pt idx="41">
                  <c:v>7.619047619047619E-3</c:v>
                </c:pt>
                <c:pt idx="42">
                  <c:v>8.8888888888888889E-3</c:v>
                </c:pt>
                <c:pt idx="43">
                  <c:v>5.4545454545454541E-3</c:v>
                </c:pt>
                <c:pt idx="44">
                  <c:v>5.7142857142857143E-3</c:v>
                </c:pt>
                <c:pt idx="45">
                  <c:v>1.0256410256410255E-2</c:v>
                </c:pt>
                <c:pt idx="46">
                  <c:v>6.6666666666666662E-3</c:v>
                </c:pt>
                <c:pt idx="47">
                  <c:v>9.3433449937917901E-3</c:v>
                </c:pt>
                <c:pt idx="48">
                  <c:v>9.7882661839723516E-3</c:v>
                </c:pt>
                <c:pt idx="49">
                  <c:v>7.6923076923076927E-3</c:v>
                </c:pt>
                <c:pt idx="50">
                  <c:v>1.1419643881301077E-2</c:v>
                </c:pt>
                <c:pt idx="51">
                  <c:v>1.4545454545454545E-2</c:v>
                </c:pt>
                <c:pt idx="52">
                  <c:v>1.3176512170732011E-2</c:v>
                </c:pt>
                <c:pt idx="53">
                  <c:v>1.0909090909090908E-2</c:v>
                </c:pt>
                <c:pt idx="54">
                  <c:v>1.868668998758358E-2</c:v>
                </c:pt>
                <c:pt idx="55">
                  <c:v>4.305425874053325E-4</c:v>
                </c:pt>
                <c:pt idx="56">
                  <c:v>4.305425874053325E-4</c:v>
                </c:pt>
                <c:pt idx="57">
                  <c:v>1.6256502601040416E-3</c:v>
                </c:pt>
                <c:pt idx="58">
                  <c:v>4.305425874053325E-4</c:v>
                </c:pt>
                <c:pt idx="59">
                  <c:v>4.305425874053325E-4</c:v>
                </c:pt>
                <c:pt idx="60">
                  <c:v>4.305425874053325E-4</c:v>
                </c:pt>
                <c:pt idx="61">
                  <c:v>4.305425874053325E-4</c:v>
                </c:pt>
                <c:pt idx="62">
                  <c:v>4.305425874053325E-4</c:v>
                </c:pt>
                <c:pt idx="63">
                  <c:v>2.7152291126929309E-3</c:v>
                </c:pt>
                <c:pt idx="64">
                  <c:v>4.305425874053325E-4</c:v>
                </c:pt>
                <c:pt idx="65">
                  <c:v>2.6260504201680674E-3</c:v>
                </c:pt>
                <c:pt idx="66">
                  <c:v>1.6256502601040416E-3</c:v>
                </c:pt>
                <c:pt idx="67">
                  <c:v>1.6256502601040416E-3</c:v>
                </c:pt>
                <c:pt idx="68">
                  <c:v>2.5777082888133671E-3</c:v>
                </c:pt>
                <c:pt idx="69">
                  <c:v>1.3005202080832333E-3</c:v>
                </c:pt>
                <c:pt idx="70">
                  <c:v>2.9878618113912231E-4</c:v>
                </c:pt>
                <c:pt idx="71">
                  <c:v>2.9878618113912231E-4</c:v>
                </c:pt>
                <c:pt idx="72">
                  <c:v>1.6256502601040416E-3</c:v>
                </c:pt>
                <c:pt idx="73">
                  <c:v>2.9878618113912231E-4</c:v>
                </c:pt>
                <c:pt idx="74">
                  <c:v>2.9878618113912231E-4</c:v>
                </c:pt>
                <c:pt idx="75">
                  <c:v>2.7152291126929309E-3</c:v>
                </c:pt>
                <c:pt idx="76">
                  <c:v>2.6260504201680674E-3</c:v>
                </c:pt>
                <c:pt idx="77">
                  <c:v>2.5777082888133671E-3</c:v>
                </c:pt>
                <c:pt idx="78">
                  <c:v>2.7152291126929309E-3</c:v>
                </c:pt>
                <c:pt idx="79">
                  <c:v>2.9878618113912231E-4</c:v>
                </c:pt>
                <c:pt idx="80">
                  <c:v>2.1721832901543448E-3</c:v>
                </c:pt>
                <c:pt idx="81">
                  <c:v>2.9878618113912231E-4</c:v>
                </c:pt>
                <c:pt idx="82">
                  <c:v>2.6260504201680674E-3</c:v>
                </c:pt>
                <c:pt idx="83">
                  <c:v>2.7152291126929309E-3</c:v>
                </c:pt>
                <c:pt idx="84">
                  <c:v>2.9878618113912231E-4</c:v>
                </c:pt>
                <c:pt idx="85">
                  <c:v>2.1008403361344541E-3</c:v>
                </c:pt>
                <c:pt idx="86">
                  <c:v>2.6260504201680674E-3</c:v>
                </c:pt>
                <c:pt idx="87">
                  <c:v>2.9878618113912231E-4</c:v>
                </c:pt>
                <c:pt idx="88">
                  <c:v>2.5777082888133671E-3</c:v>
                </c:pt>
                <c:pt idx="89">
                  <c:v>2.0621666310506933E-3</c:v>
                </c:pt>
                <c:pt idx="90">
                  <c:v>4.305425874053325E-4</c:v>
                </c:pt>
                <c:pt idx="91">
                  <c:v>4.305425874053325E-4</c:v>
                </c:pt>
                <c:pt idx="92">
                  <c:v>2.5777082888133671E-3</c:v>
                </c:pt>
                <c:pt idx="93">
                  <c:v>4.305425874053325E-4</c:v>
                </c:pt>
                <c:pt idx="94">
                  <c:v>4.305425874053325E-4</c:v>
                </c:pt>
                <c:pt idx="95">
                  <c:v>5.4545454545454541E-3</c:v>
                </c:pt>
                <c:pt idx="96">
                  <c:v>7.2727272727272727E-3</c:v>
                </c:pt>
                <c:pt idx="97">
                  <c:v>5.7142857142857143E-3</c:v>
                </c:pt>
                <c:pt idx="98">
                  <c:v>7.619047619047619E-3</c:v>
                </c:pt>
                <c:pt idx="99">
                  <c:v>8.8888888888888889E-3</c:v>
                </c:pt>
                <c:pt idx="100">
                  <c:v>6.6666666666666662E-3</c:v>
                </c:pt>
                <c:pt idx="101">
                  <c:v>7.3714603239921801E-3</c:v>
                </c:pt>
                <c:pt idx="102">
                  <c:v>7.7224822441822839E-3</c:v>
                </c:pt>
                <c:pt idx="103">
                  <c:v>9.0095626182126638E-3</c:v>
                </c:pt>
                <c:pt idx="104">
                  <c:v>1.0256410256410255E-2</c:v>
                </c:pt>
                <c:pt idx="105">
                  <c:v>7.6923076923076927E-3</c:v>
                </c:pt>
                <c:pt idx="106">
                  <c:v>1.0395649174860766E-2</c:v>
                </c:pt>
                <c:pt idx="107">
                  <c:v>1.4545454545454545E-2</c:v>
                </c:pt>
                <c:pt idx="108">
                  <c:v>1.0909090909090908E-2</c:v>
                </c:pt>
                <c:pt idx="109">
                  <c:v>1.474292064798436E-2</c:v>
                </c:pt>
                <c:pt idx="110">
                  <c:v>4.305425874053325E-4</c:v>
                </c:pt>
                <c:pt idx="111">
                  <c:v>4.305425874053325E-4</c:v>
                </c:pt>
                <c:pt idx="112">
                  <c:v>4.305425874053325E-4</c:v>
                </c:pt>
                <c:pt idx="113">
                  <c:v>4.305425874053325E-4</c:v>
                </c:pt>
                <c:pt idx="114">
                  <c:v>2.9878618113912231E-4</c:v>
                </c:pt>
                <c:pt idx="115">
                  <c:v>2.9878618113912231E-4</c:v>
                </c:pt>
                <c:pt idx="116">
                  <c:v>1.6256502601040416E-3</c:v>
                </c:pt>
                <c:pt idx="117">
                  <c:v>2.9878618113912231E-4</c:v>
                </c:pt>
                <c:pt idx="118">
                  <c:v>2.9878618113912231E-4</c:v>
                </c:pt>
                <c:pt idx="119">
                  <c:v>1.4052359304229719E-3</c:v>
                </c:pt>
                <c:pt idx="120">
                  <c:v>4.305425874053325E-4</c:v>
                </c:pt>
                <c:pt idx="121">
                  <c:v>2.0347764046985059E-3</c:v>
                </c:pt>
                <c:pt idx="122">
                  <c:v>4.305425874053325E-4</c:v>
                </c:pt>
                <c:pt idx="123">
                  <c:v>4.305425874053325E-4</c:v>
                </c:pt>
                <c:pt idx="124">
                  <c:v>4.305425874053325E-4</c:v>
                </c:pt>
                <c:pt idx="125">
                  <c:v>2.9878618113912231E-4</c:v>
                </c:pt>
                <c:pt idx="126">
                  <c:v>2.9878618113912231E-4</c:v>
                </c:pt>
                <c:pt idx="127">
                  <c:v>4.305425874053325E-4</c:v>
                </c:pt>
                <c:pt idx="128">
                  <c:v>4.305425874053325E-4</c:v>
                </c:pt>
                <c:pt idx="129">
                  <c:v>2.9878618113912231E-4</c:v>
                </c:pt>
                <c:pt idx="130">
                  <c:v>2.9878618113912231E-4</c:v>
                </c:pt>
                <c:pt idx="131">
                  <c:v>2.6260504201680674E-3</c:v>
                </c:pt>
                <c:pt idx="132">
                  <c:v>1.6256502601040416E-3</c:v>
                </c:pt>
                <c:pt idx="133">
                  <c:v>1.6256502601040416E-3</c:v>
                </c:pt>
                <c:pt idx="134">
                  <c:v>1.4052359304229719E-3</c:v>
                </c:pt>
                <c:pt idx="135">
                  <c:v>1.4052359304229719E-3</c:v>
                </c:pt>
                <c:pt idx="136">
                  <c:v>1.3005202080832333E-3</c:v>
                </c:pt>
                <c:pt idx="137">
                  <c:v>2.0347764046985059E-3</c:v>
                </c:pt>
                <c:pt idx="138">
                  <c:v>1.6256502601040416E-3</c:v>
                </c:pt>
                <c:pt idx="139">
                  <c:v>1.1241887443383775E-3</c:v>
                </c:pt>
                <c:pt idx="140">
                  <c:v>2.0347764046985059E-3</c:v>
                </c:pt>
                <c:pt idx="141">
                  <c:v>4.305425874053325E-4</c:v>
                </c:pt>
                <c:pt idx="142">
                  <c:v>1.4052359304229719E-3</c:v>
                </c:pt>
                <c:pt idx="143">
                  <c:v>1.6278211237588046E-3</c:v>
                </c:pt>
                <c:pt idx="144">
                  <c:v>4.305425874053325E-4</c:v>
                </c:pt>
                <c:pt idx="145">
                  <c:v>2.0347764046985059E-3</c:v>
                </c:pt>
                <c:pt idx="146">
                  <c:v>2.6260504201680674E-3</c:v>
                </c:pt>
                <c:pt idx="147">
                  <c:v>2.6260504201680674E-3</c:v>
                </c:pt>
                <c:pt idx="148">
                  <c:v>2.1008403361344541E-3</c:v>
                </c:pt>
                <c:pt idx="149">
                  <c:v>2.6260504201680674E-3</c:v>
                </c:pt>
                <c:pt idx="150">
                  <c:v>5.4545454545454541E-3</c:v>
                </c:pt>
                <c:pt idx="151">
                  <c:v>5.7142857142857143E-3</c:v>
                </c:pt>
                <c:pt idx="152">
                  <c:v>7.2727272727272727E-3</c:v>
                </c:pt>
                <c:pt idx="153">
                  <c:v>6.5474078574617092E-3</c:v>
                </c:pt>
                <c:pt idx="154">
                  <c:v>7.619047619047619E-3</c:v>
                </c:pt>
                <c:pt idx="155">
                  <c:v>6.8591891840075045E-3</c:v>
                </c:pt>
                <c:pt idx="156">
                  <c:v>6.6666666666666662E-3</c:v>
                </c:pt>
                <c:pt idx="157">
                  <c:v>8.8888888888888889E-3</c:v>
                </c:pt>
                <c:pt idx="158">
                  <c:v>8.0023873813420895E-3</c:v>
                </c:pt>
                <c:pt idx="159">
                  <c:v>7.6923076923076927E-3</c:v>
                </c:pt>
                <c:pt idx="160">
                  <c:v>1.0256410256410255E-2</c:v>
                </c:pt>
                <c:pt idx="161">
                  <c:v>9.2335239015485654E-3</c:v>
                </c:pt>
                <c:pt idx="162">
                  <c:v>1.0909090909090908E-2</c:v>
                </c:pt>
                <c:pt idx="163">
                  <c:v>1.4545454545454545E-2</c:v>
                </c:pt>
                <c:pt idx="164">
                  <c:v>1.3094815714923418E-2</c:v>
                </c:pt>
              </c:numCache>
            </c:numRef>
          </c:val>
          <c:extLst>
            <c:ext xmlns:c16="http://schemas.microsoft.com/office/drawing/2014/chart" uri="{C3380CC4-5D6E-409C-BE32-E72D297353CC}">
              <c16:uniqueId val="{00000005-F45C-465E-A516-77C650081690}"/>
            </c:ext>
          </c:extLst>
        </c:ser>
        <c:ser>
          <c:idx val="6"/>
          <c:order val="6"/>
          <c:tx>
            <c:strRef>
              <c:f>FIGURES!$I$397</c:f>
              <c:strCache>
                <c:ptCount val="1"/>
                <c:pt idx="0">
                  <c:v>Opex var (mode-fees)</c:v>
                </c:pt>
              </c:strCache>
            </c:strRef>
          </c:tx>
          <c:spPr>
            <a:solidFill>
              <a:schemeClr val="accent1">
                <a:lumMod val="60000"/>
              </a:schemeClr>
            </a:solidFill>
            <a:ln>
              <a:noFill/>
            </a:ln>
            <a:effectLst/>
          </c:spPr>
          <c:invertIfNegative val="0"/>
          <c:cat>
            <c:multiLvlStrRef>
              <c:f>FIGURES!$A$398:$B$562</c:f>
              <c:multiLvlStrCache>
                <c:ptCount val="165"/>
                <c:lvl>
                  <c:pt idx="0">
                    <c:v>Sea - Neon bulk - Heavy fuel oil</c:v>
                  </c:pt>
                  <c:pt idx="1">
                    <c:v>Sea - Dry bulk - Heavy fuel oil</c:v>
                  </c:pt>
                  <c:pt idx="2">
                    <c:v>Sea - Container - Heavy fuel oil</c:v>
                  </c:pt>
                  <c:pt idx="3">
                    <c:v>Sea - Break bulk - Heavy fuel oil</c:v>
                  </c:pt>
                  <c:pt idx="4">
                    <c:v>Rail - Dry bulk - Catenary</c:v>
                  </c:pt>
                  <c:pt idx="5">
                    <c:v>Sea - Neon bulk - Maritime gas oil</c:v>
                  </c:pt>
                  <c:pt idx="6">
                    <c:v>Sea - Dry bulk - Maritime gas oil</c:v>
                  </c:pt>
                  <c:pt idx="7">
                    <c:v>Sea - Container - Maritime gas oil</c:v>
                  </c:pt>
                  <c:pt idx="8">
                    <c:v>Sea - Break bulk - Maritime gas oil</c:v>
                  </c:pt>
                  <c:pt idx="9">
                    <c:v>Rail - Dry bulk - Diesel</c:v>
                  </c:pt>
                  <c:pt idx="10">
                    <c:v>Rail - Break bulk - Catenary</c:v>
                  </c:pt>
                  <c:pt idx="11">
                    <c:v>Rail - Dry bulk - Battery</c:v>
                  </c:pt>
                  <c:pt idx="12">
                    <c:v>Rail - Container - Catenary</c:v>
                  </c:pt>
                  <c:pt idx="13">
                    <c:v>Rail - Neon bulk - Catenary</c:v>
                  </c:pt>
                  <c:pt idx="14">
                    <c:v>Rail - Liquid bulk - Catenary</c:v>
                  </c:pt>
                  <c:pt idx="15">
                    <c:v>Rail - Break bulk - Diesel</c:v>
                  </c:pt>
                  <c:pt idx="16">
                    <c:v>Sea - Neon bulk - Ammoina</c:v>
                  </c:pt>
                  <c:pt idx="17">
                    <c:v>Sea - Dry bulk - Ammonia</c:v>
                  </c:pt>
                  <c:pt idx="18">
                    <c:v>Rail - Break bulk - Battery</c:v>
                  </c:pt>
                  <c:pt idx="19">
                    <c:v>Rail - Dry bulk - Hydrogen</c:v>
                  </c:pt>
                  <c:pt idx="20">
                    <c:v>Sea - Neon bulk - Hydrogen</c:v>
                  </c:pt>
                  <c:pt idx="21">
                    <c:v>Sea - Dry bulk - Hydrogen</c:v>
                  </c:pt>
                  <c:pt idx="22">
                    <c:v>Rail - Container - Diesel</c:v>
                  </c:pt>
                  <c:pt idx="23">
                    <c:v>Rail - Neon bulk - Diesel</c:v>
                  </c:pt>
                  <c:pt idx="24">
                    <c:v>Rail - Container - Battery</c:v>
                  </c:pt>
                  <c:pt idx="25">
                    <c:v>Rail - Liquid bulk - Diesel</c:v>
                  </c:pt>
                  <c:pt idx="26">
                    <c:v>Sea - Container - Ammonia</c:v>
                  </c:pt>
                  <c:pt idx="27">
                    <c:v>Rail - Break bulk - Hydrogen</c:v>
                  </c:pt>
                  <c:pt idx="28">
                    <c:v>Rail - Neon bulk - Battery</c:v>
                  </c:pt>
                  <c:pt idx="29">
                    <c:v>Rail - Liquid bulk - Battery</c:v>
                  </c:pt>
                  <c:pt idx="30">
                    <c:v>Sea - Break bulk - Ammonia</c:v>
                  </c:pt>
                  <c:pt idx="31">
                    <c:v>Sea - Container - Hydrogen</c:v>
                  </c:pt>
                  <c:pt idx="32">
                    <c:v>Sea - Break bulk - Hydrogen</c:v>
                  </c:pt>
                  <c:pt idx="33">
                    <c:v>Rail - Container - Hydrogen</c:v>
                  </c:pt>
                  <c:pt idx="34">
                    <c:v>Rail - Neon bulk - Hydrogen</c:v>
                  </c:pt>
                  <c:pt idx="35">
                    <c:v>Rail - Liquid bulk - Hydrogen</c:v>
                  </c:pt>
                  <c:pt idx="36">
                    <c:v>Sea - Neon bulk - Methanol</c:v>
                  </c:pt>
                  <c:pt idx="37">
                    <c:v>Sea - Dry bulk - Methanol</c:v>
                  </c:pt>
                  <c:pt idx="38">
                    <c:v>Sea - Container - Methanol</c:v>
                  </c:pt>
                  <c:pt idx="39">
                    <c:v>Sea - Break bulk - Methanol</c:v>
                  </c:pt>
                  <c:pt idx="40">
                    <c:v>Road - Liquid bulk - Diesel</c:v>
                  </c:pt>
                  <c:pt idx="41">
                    <c:v>Road - Container - Diesel</c:v>
                  </c:pt>
                  <c:pt idx="42">
                    <c:v>Road - Neon bulk - Diesel</c:v>
                  </c:pt>
                  <c:pt idx="43">
                    <c:v>Road - Liquid bulk - Battery</c:v>
                  </c:pt>
                  <c:pt idx="44">
                    <c:v>Road - Container - Battery</c:v>
                  </c:pt>
                  <c:pt idx="45">
                    <c:v>Road - Break bulk - Diesel</c:v>
                  </c:pt>
                  <c:pt idx="46">
                    <c:v>Road - Neon bulk - Battery</c:v>
                  </c:pt>
                  <c:pt idx="47">
                    <c:v>Road - Liquid bulk - Hydrogen</c:v>
                  </c:pt>
                  <c:pt idx="48">
                    <c:v>Road - Container - Hydrogen</c:v>
                  </c:pt>
                  <c:pt idx="49">
                    <c:v>Road - Break bulk - Battery</c:v>
                  </c:pt>
                  <c:pt idx="50">
                    <c:v>Road - Neon bulk - Hydrogen</c:v>
                  </c:pt>
                  <c:pt idx="51">
                    <c:v>Road - Dry bulk - Diesel</c:v>
                  </c:pt>
                  <c:pt idx="52">
                    <c:v>Road - Break bulk - Hydrogen</c:v>
                  </c:pt>
                  <c:pt idx="53">
                    <c:v>Road - Dry bulk - Battery</c:v>
                  </c:pt>
                  <c:pt idx="54">
                    <c:v>Road - Dry bulk - Hydrogen</c:v>
                  </c:pt>
                  <c:pt idx="55">
                    <c:v>Sea - Neon bulk - Heavy fuel oil</c:v>
                  </c:pt>
                  <c:pt idx="56">
                    <c:v>Sea - Dry bulk - Heavy fuel oil</c:v>
                  </c:pt>
                  <c:pt idx="57">
                    <c:v>Rail - Dry bulk - Catenary</c:v>
                  </c:pt>
                  <c:pt idx="58">
                    <c:v>Sea - Neon bulk - Maritime gas oil</c:v>
                  </c:pt>
                  <c:pt idx="59">
                    <c:v>Sea - Dry bulk - Maritime gas oil</c:v>
                  </c:pt>
                  <c:pt idx="60">
                    <c:v>Sea - Container - Heavy fuel oil</c:v>
                  </c:pt>
                  <c:pt idx="61">
                    <c:v>Sea - Break bulk - Heavy fuel oil</c:v>
                  </c:pt>
                  <c:pt idx="62">
                    <c:v>Sea - Container - Maritime gas oil</c:v>
                  </c:pt>
                  <c:pt idx="63">
                    <c:v>Rail - Dry bulk - Battery</c:v>
                  </c:pt>
                  <c:pt idx="64">
                    <c:v>Sea - Break bulk - Maritime gas oil</c:v>
                  </c:pt>
                  <c:pt idx="65">
                    <c:v>Rail - Dry bulk - Diesel</c:v>
                  </c:pt>
                  <c:pt idx="66">
                    <c:v>Rail - Break bulk - Catenary</c:v>
                  </c:pt>
                  <c:pt idx="67">
                    <c:v>Rail - Container - Catenary</c:v>
                  </c:pt>
                  <c:pt idx="68">
                    <c:v>Rail - Dry bulk - Hydrogen</c:v>
                  </c:pt>
                  <c:pt idx="69">
                    <c:v>Rail - Neon bulk - Catenary</c:v>
                  </c:pt>
                  <c:pt idx="70">
                    <c:v>Sea - Neon bulk - Ammoina</c:v>
                  </c:pt>
                  <c:pt idx="71">
                    <c:v>Sea - Dry bulk - Ammonia</c:v>
                  </c:pt>
                  <c:pt idx="72">
                    <c:v>Rail - Liquid bulk - Catenary</c:v>
                  </c:pt>
                  <c:pt idx="73">
                    <c:v>Sea - Neon bulk - Hydrogen</c:v>
                  </c:pt>
                  <c:pt idx="74">
                    <c:v>Sea - Dry bulk - Hydrogen</c:v>
                  </c:pt>
                  <c:pt idx="75">
                    <c:v>Rail - Break bulk - Battery</c:v>
                  </c:pt>
                  <c:pt idx="76">
                    <c:v>Rail - Break bulk - Diesel</c:v>
                  </c:pt>
                  <c:pt idx="77">
                    <c:v>Rail - Break bulk - Hydrogen</c:v>
                  </c:pt>
                  <c:pt idx="78">
                    <c:v>Rail - Container - Battery</c:v>
                  </c:pt>
                  <c:pt idx="79">
                    <c:v>Sea - Container - Ammonia</c:v>
                  </c:pt>
                  <c:pt idx="80">
                    <c:v>Rail - Neon bulk - Battery</c:v>
                  </c:pt>
                  <c:pt idx="81">
                    <c:v>Sea - Container - Hydrogen</c:v>
                  </c:pt>
                  <c:pt idx="82">
                    <c:v>Rail - Container - Diesel</c:v>
                  </c:pt>
                  <c:pt idx="83">
                    <c:v>Rail - Liquid bulk - Battery</c:v>
                  </c:pt>
                  <c:pt idx="84">
                    <c:v>Sea - Break bulk - Ammonia</c:v>
                  </c:pt>
                  <c:pt idx="85">
                    <c:v>Rail - Neon bulk - Diesel</c:v>
                  </c:pt>
                  <c:pt idx="86">
                    <c:v>Rail - Liquid bulk - Diesel</c:v>
                  </c:pt>
                  <c:pt idx="87">
                    <c:v>Sea - Break bulk - Hydrogen</c:v>
                  </c:pt>
                  <c:pt idx="88">
                    <c:v>Rail - Container - Hydrogen</c:v>
                  </c:pt>
                  <c:pt idx="89">
                    <c:v>Rail - Neon bulk - Hydrogen</c:v>
                  </c:pt>
                  <c:pt idx="90">
                    <c:v>Sea - Neon bulk - Methanol</c:v>
                  </c:pt>
                  <c:pt idx="91">
                    <c:v>Sea - Dry bulk - Methanol</c:v>
                  </c:pt>
                  <c:pt idx="92">
                    <c:v>Rail - Liquid bulk - Hydrogen</c:v>
                  </c:pt>
                  <c:pt idx="93">
                    <c:v>Sea - Container - Methanol</c:v>
                  </c:pt>
                  <c:pt idx="94">
                    <c:v>Sea - Break bulk - Methanol</c:v>
                  </c:pt>
                  <c:pt idx="95">
                    <c:v>Road - Liquid bulk - Battery</c:v>
                  </c:pt>
                  <c:pt idx="96">
                    <c:v>Road - Liquid bulk - Diesel</c:v>
                  </c:pt>
                  <c:pt idx="97">
                    <c:v>Road - Container - Battery</c:v>
                  </c:pt>
                  <c:pt idx="98">
                    <c:v>Road - Container - Diesel</c:v>
                  </c:pt>
                  <c:pt idx="99">
                    <c:v>Road - Neon bulk - Diesel</c:v>
                  </c:pt>
                  <c:pt idx="100">
                    <c:v>Road - Neon bulk - Battery</c:v>
                  </c:pt>
                  <c:pt idx="101">
                    <c:v>Road - Liquid bulk - Hydrogen</c:v>
                  </c:pt>
                  <c:pt idx="102">
                    <c:v>Road - Container - Hydrogen</c:v>
                  </c:pt>
                  <c:pt idx="103">
                    <c:v>Road - Neon bulk - Hydrogen</c:v>
                  </c:pt>
                  <c:pt idx="104">
                    <c:v>Road - Break bulk - Diesel</c:v>
                  </c:pt>
                  <c:pt idx="105">
                    <c:v>Road - Break bulk - Battery</c:v>
                  </c:pt>
                  <c:pt idx="106">
                    <c:v>Road - Break bulk - Hydrogen</c:v>
                  </c:pt>
                  <c:pt idx="107">
                    <c:v>Road - Dry bulk - Diesel</c:v>
                  </c:pt>
                  <c:pt idx="108">
                    <c:v>Road - Dry bulk - Battery</c:v>
                  </c:pt>
                  <c:pt idx="109">
                    <c:v>Road - Dry bulk - Hydrogen</c:v>
                  </c:pt>
                  <c:pt idx="110">
                    <c:v>Sea - Neon bulk - Heavy fuel oil</c:v>
                  </c:pt>
                  <c:pt idx="111">
                    <c:v>Sea - Dry bulk - Heavy fuel oil</c:v>
                  </c:pt>
                  <c:pt idx="112">
                    <c:v>Sea - Neon bulk - Maritime gas oil</c:v>
                  </c:pt>
                  <c:pt idx="113">
                    <c:v>Sea - Dry bulk - Maritime gas oil</c:v>
                  </c:pt>
                  <c:pt idx="114">
                    <c:v>Sea - Neon bulk - Ammoina</c:v>
                  </c:pt>
                  <c:pt idx="115">
                    <c:v>Sea - Dry bulk - Ammonia</c:v>
                  </c:pt>
                  <c:pt idx="116">
                    <c:v>Rail - Dry bulk - Catenary</c:v>
                  </c:pt>
                  <c:pt idx="117">
                    <c:v>Sea - Neon bulk - Hydrogen</c:v>
                  </c:pt>
                  <c:pt idx="118">
                    <c:v>Sea - Dry bulk - Hydrogen</c:v>
                  </c:pt>
                  <c:pt idx="119">
                    <c:v>Rail - Dry bulk - Hydrogen</c:v>
                  </c:pt>
                  <c:pt idx="120">
                    <c:v>Sea - Container - Heavy fuel oil</c:v>
                  </c:pt>
                  <c:pt idx="121">
                    <c:v>Rail - Dry bulk - Battery</c:v>
                  </c:pt>
                  <c:pt idx="122">
                    <c:v>Sea - Break bulk - Heavy fuel oil</c:v>
                  </c:pt>
                  <c:pt idx="123">
                    <c:v>Sea - Container - Maritime gas oil</c:v>
                  </c:pt>
                  <c:pt idx="124">
                    <c:v>Sea - Break bulk - Maritime gas oil</c:v>
                  </c:pt>
                  <c:pt idx="125">
                    <c:v>Sea - Container - Ammonia</c:v>
                  </c:pt>
                  <c:pt idx="126">
                    <c:v>Sea - Container - Hydrogen</c:v>
                  </c:pt>
                  <c:pt idx="127">
                    <c:v>Sea - Neon bulk - Methanol</c:v>
                  </c:pt>
                  <c:pt idx="128">
                    <c:v>Sea - Dry bulk - Methanol</c:v>
                  </c:pt>
                  <c:pt idx="129">
                    <c:v>Sea - Break bulk - Ammonia</c:v>
                  </c:pt>
                  <c:pt idx="130">
                    <c:v>Sea - Break bulk - Hydrogen</c:v>
                  </c:pt>
                  <c:pt idx="131">
                    <c:v>Rail - Dry bulk - Diesel</c:v>
                  </c:pt>
                  <c:pt idx="132">
                    <c:v>Rail - Break bulk - Catenary</c:v>
                  </c:pt>
                  <c:pt idx="133">
                    <c:v>Rail - Container - Catenary</c:v>
                  </c:pt>
                  <c:pt idx="134">
                    <c:v>Rail - Break bulk - Hydrogen</c:v>
                  </c:pt>
                  <c:pt idx="135">
                    <c:v>Rail - Container - Hydrogen</c:v>
                  </c:pt>
                  <c:pt idx="136">
                    <c:v>Rail - Neon bulk - Catenary</c:v>
                  </c:pt>
                  <c:pt idx="137">
                    <c:v>Rail - Break bulk - Battery</c:v>
                  </c:pt>
                  <c:pt idx="138">
                    <c:v>Rail - Liquid bulk - Catenary</c:v>
                  </c:pt>
                  <c:pt idx="139">
                    <c:v>Rail - Neon bulk - Hydrogen</c:v>
                  </c:pt>
                  <c:pt idx="140">
                    <c:v>Rail - Container - Battery</c:v>
                  </c:pt>
                  <c:pt idx="141">
                    <c:v>Sea - Container - Methanol</c:v>
                  </c:pt>
                  <c:pt idx="142">
                    <c:v>Rail - Liquid bulk - Hydrogen</c:v>
                  </c:pt>
                  <c:pt idx="143">
                    <c:v>Rail - Neon bulk - Battery</c:v>
                  </c:pt>
                  <c:pt idx="144">
                    <c:v>Sea - Break bulk - Methanol</c:v>
                  </c:pt>
                  <c:pt idx="145">
                    <c:v>Rail - Liquid bulk - Battery</c:v>
                  </c:pt>
                  <c:pt idx="146">
                    <c:v>Rail - Break bulk - Diesel</c:v>
                  </c:pt>
                  <c:pt idx="147">
                    <c:v>Rail - Container - Diesel</c:v>
                  </c:pt>
                  <c:pt idx="148">
                    <c:v>Rail - Neon bulk - Diesel</c:v>
                  </c:pt>
                  <c:pt idx="149">
                    <c:v>Rail - Liquid bulk - Diesel</c:v>
                  </c:pt>
                  <c:pt idx="150">
                    <c:v>Road - Liquid bulk - Battery</c:v>
                  </c:pt>
                  <c:pt idx="151">
                    <c:v>Road - Container - Battery</c:v>
                  </c:pt>
                  <c:pt idx="152">
                    <c:v>Road - Liquid bulk - Diesel</c:v>
                  </c:pt>
                  <c:pt idx="153">
                    <c:v>Road - Liquid bulk - Hydrogen</c:v>
                  </c:pt>
                  <c:pt idx="154">
                    <c:v>Road - Container - Diesel</c:v>
                  </c:pt>
                  <c:pt idx="155">
                    <c:v>Road - Container - Hydrogen</c:v>
                  </c:pt>
                  <c:pt idx="156">
                    <c:v>Road - Neon bulk - Battery</c:v>
                  </c:pt>
                  <c:pt idx="157">
                    <c:v>Road - Neon bulk - Diesel</c:v>
                  </c:pt>
                  <c:pt idx="158">
                    <c:v>Road - Neon bulk - Hydrogen</c:v>
                  </c:pt>
                  <c:pt idx="159">
                    <c:v>Road - Break bulk - Battery</c:v>
                  </c:pt>
                  <c:pt idx="160">
                    <c:v>Road - Break bulk - Diesel</c:v>
                  </c:pt>
                  <c:pt idx="161">
                    <c:v>Road - Break bulk - Hydrogen</c:v>
                  </c:pt>
                  <c:pt idx="162">
                    <c:v>Road - Dry bulk - Battery</c:v>
                  </c:pt>
                  <c:pt idx="163">
                    <c:v>Road - Dry bulk - Diesel</c:v>
                  </c:pt>
                  <c:pt idx="164">
                    <c:v>Road - Dry bulk - Hydrogen</c:v>
                  </c:pt>
                </c:lvl>
                <c:lvl>
                  <c:pt idx="0">
                    <c:v>2023</c:v>
                  </c:pt>
                  <c:pt idx="55">
                    <c:v>2034</c:v>
                  </c:pt>
                  <c:pt idx="110">
                    <c:v>2050</c:v>
                  </c:pt>
                </c:lvl>
              </c:multiLvlStrCache>
            </c:multiLvlStrRef>
          </c:cat>
          <c:val>
            <c:numRef>
              <c:f>FIGURES!$I$398:$I$562</c:f>
              <c:numCache>
                <c:formatCode>General</c:formatCode>
                <c:ptCount val="165"/>
                <c:pt idx="0">
                  <c:v>8.6011184229469056E-5</c:v>
                </c:pt>
                <c:pt idx="1">
                  <c:v>8.9502842587904882E-5</c:v>
                </c:pt>
                <c:pt idx="2">
                  <c:v>1.7869725535414797E-4</c:v>
                </c:pt>
                <c:pt idx="3">
                  <c:v>8.6011184229469056E-5</c:v>
                </c:pt>
                <c:pt idx="4">
                  <c:v>1.7507002801120447E-3</c:v>
                </c:pt>
                <c:pt idx="5">
                  <c:v>8.6011184229469056E-5</c:v>
                </c:pt>
                <c:pt idx="6">
                  <c:v>8.9502842587904882E-5</c:v>
                </c:pt>
                <c:pt idx="7">
                  <c:v>1.7869725535414797E-4</c:v>
                </c:pt>
                <c:pt idx="8">
                  <c:v>8.6011184229469056E-5</c:v>
                </c:pt>
                <c:pt idx="9">
                  <c:v>1.7507002801120447E-3</c:v>
                </c:pt>
                <c:pt idx="10">
                  <c:v>4.0016006402561026E-3</c:v>
                </c:pt>
                <c:pt idx="11">
                  <c:v>1.7507002801120447E-3</c:v>
                </c:pt>
                <c:pt idx="12">
                  <c:v>1.6256502601040416E-3</c:v>
                </c:pt>
                <c:pt idx="13">
                  <c:v>1.4005602240896359E-3</c:v>
                </c:pt>
                <c:pt idx="14">
                  <c:v>1.6256502601040416E-3</c:v>
                </c:pt>
                <c:pt idx="15">
                  <c:v>4.0016006402561026E-3</c:v>
                </c:pt>
                <c:pt idx="16">
                  <c:v>8.6011184229469056E-5</c:v>
                </c:pt>
                <c:pt idx="17">
                  <c:v>8.9502842587904882E-5</c:v>
                </c:pt>
                <c:pt idx="18">
                  <c:v>4.0016006402561026E-3</c:v>
                </c:pt>
                <c:pt idx="19">
                  <c:v>1.7507002801120447E-3</c:v>
                </c:pt>
                <c:pt idx="20">
                  <c:v>8.6011184229469056E-5</c:v>
                </c:pt>
                <c:pt idx="21">
                  <c:v>8.9502842587904882E-5</c:v>
                </c:pt>
                <c:pt idx="22">
                  <c:v>1.6256502601040416E-3</c:v>
                </c:pt>
                <c:pt idx="23">
                  <c:v>1.4005602240896359E-3</c:v>
                </c:pt>
                <c:pt idx="24">
                  <c:v>1.6256502601040416E-3</c:v>
                </c:pt>
                <c:pt idx="25">
                  <c:v>1.6256502601040416E-3</c:v>
                </c:pt>
                <c:pt idx="26">
                  <c:v>1.7869725535414797E-4</c:v>
                </c:pt>
                <c:pt idx="27">
                  <c:v>4.0016006402561026E-3</c:v>
                </c:pt>
                <c:pt idx="28">
                  <c:v>1.4005602240896359E-3</c:v>
                </c:pt>
                <c:pt idx="29">
                  <c:v>1.6256502601040416E-3</c:v>
                </c:pt>
                <c:pt idx="30">
                  <c:v>8.6011184229469056E-5</c:v>
                </c:pt>
                <c:pt idx="31">
                  <c:v>1.7869725535414797E-4</c:v>
                </c:pt>
                <c:pt idx="32">
                  <c:v>8.6011184229469056E-5</c:v>
                </c:pt>
                <c:pt idx="33">
                  <c:v>1.6256502601040416E-3</c:v>
                </c:pt>
                <c:pt idx="34">
                  <c:v>1.4005602240896359E-3</c:v>
                </c:pt>
                <c:pt idx="35">
                  <c:v>1.6256502601040416E-3</c:v>
                </c:pt>
                <c:pt idx="36">
                  <c:v>8.6011184229469056E-5</c:v>
                </c:pt>
                <c:pt idx="37">
                  <c:v>8.9502842587904882E-5</c:v>
                </c:pt>
                <c:pt idx="38">
                  <c:v>1.7869725535414797E-4</c:v>
                </c:pt>
                <c:pt idx="39">
                  <c:v>8.6011184229469056E-5</c:v>
                </c:pt>
                <c:pt idx="40">
                  <c:v>4.4000000000000003E-3</c:v>
                </c:pt>
                <c:pt idx="41">
                  <c:v>4.4000000000000003E-3</c:v>
                </c:pt>
                <c:pt idx="42">
                  <c:v>4.4000000000000003E-3</c:v>
                </c:pt>
                <c:pt idx="43">
                  <c:v>4.4000000000000003E-3</c:v>
                </c:pt>
                <c:pt idx="44">
                  <c:v>4.4000000000000003E-3</c:v>
                </c:pt>
                <c:pt idx="45">
                  <c:v>4.4000000000000003E-3</c:v>
                </c:pt>
                <c:pt idx="46">
                  <c:v>4.4000000000000003E-3</c:v>
                </c:pt>
                <c:pt idx="47">
                  <c:v>4.4000000000000003E-3</c:v>
                </c:pt>
                <c:pt idx="48">
                  <c:v>4.4000000000000003E-3</c:v>
                </c:pt>
                <c:pt idx="49">
                  <c:v>4.4000000000000003E-3</c:v>
                </c:pt>
                <c:pt idx="50">
                  <c:v>4.4000000000000003E-3</c:v>
                </c:pt>
                <c:pt idx="51">
                  <c:v>4.4000000000000003E-3</c:v>
                </c:pt>
                <c:pt idx="52">
                  <c:v>4.4000000000000003E-3</c:v>
                </c:pt>
                <c:pt idx="53">
                  <c:v>4.4000000000000003E-3</c:v>
                </c:pt>
                <c:pt idx="54">
                  <c:v>4.4000000000000003E-3</c:v>
                </c:pt>
                <c:pt idx="55">
                  <c:v>8.6011184229469056E-5</c:v>
                </c:pt>
                <c:pt idx="56">
                  <c:v>8.9502842587904882E-5</c:v>
                </c:pt>
                <c:pt idx="57">
                  <c:v>1.7507002801120447E-3</c:v>
                </c:pt>
                <c:pt idx="58">
                  <c:v>8.6011184229469056E-5</c:v>
                </c:pt>
                <c:pt idx="59">
                  <c:v>8.9502842587904882E-5</c:v>
                </c:pt>
                <c:pt idx="60">
                  <c:v>1.7869725535414797E-4</c:v>
                </c:pt>
                <c:pt idx="61">
                  <c:v>8.6011184229469056E-5</c:v>
                </c:pt>
                <c:pt idx="62">
                  <c:v>1.7869725535414797E-4</c:v>
                </c:pt>
                <c:pt idx="63">
                  <c:v>1.7507002801120447E-3</c:v>
                </c:pt>
                <c:pt idx="64">
                  <c:v>8.6011184229469056E-5</c:v>
                </c:pt>
                <c:pt idx="65">
                  <c:v>1.7507002801120447E-3</c:v>
                </c:pt>
                <c:pt idx="66">
                  <c:v>4.0016006402561026E-3</c:v>
                </c:pt>
                <c:pt idx="67">
                  <c:v>1.6256502601040416E-3</c:v>
                </c:pt>
                <c:pt idx="68">
                  <c:v>1.7507002801120447E-3</c:v>
                </c:pt>
                <c:pt idx="69">
                  <c:v>1.4005602240896359E-3</c:v>
                </c:pt>
                <c:pt idx="70">
                  <c:v>8.6011184229469056E-5</c:v>
                </c:pt>
                <c:pt idx="71">
                  <c:v>8.9502842587904882E-5</c:v>
                </c:pt>
                <c:pt idx="72">
                  <c:v>1.6256502601040416E-3</c:v>
                </c:pt>
                <c:pt idx="73">
                  <c:v>8.6011184229469056E-5</c:v>
                </c:pt>
                <c:pt idx="74">
                  <c:v>8.9502842587904882E-5</c:v>
                </c:pt>
                <c:pt idx="75">
                  <c:v>4.0016006402561026E-3</c:v>
                </c:pt>
                <c:pt idx="76">
                  <c:v>4.0016006402561026E-3</c:v>
                </c:pt>
                <c:pt idx="77">
                  <c:v>4.0016006402561026E-3</c:v>
                </c:pt>
                <c:pt idx="78">
                  <c:v>1.6256502601040416E-3</c:v>
                </c:pt>
                <c:pt idx="79">
                  <c:v>1.7869725535414797E-4</c:v>
                </c:pt>
                <c:pt idx="80">
                  <c:v>1.4005602240896359E-3</c:v>
                </c:pt>
                <c:pt idx="81">
                  <c:v>1.7869725535414797E-4</c:v>
                </c:pt>
                <c:pt idx="82">
                  <c:v>1.6256502601040416E-3</c:v>
                </c:pt>
                <c:pt idx="83">
                  <c:v>1.6256502601040416E-3</c:v>
                </c:pt>
                <c:pt idx="84">
                  <c:v>8.6011184229469056E-5</c:v>
                </c:pt>
                <c:pt idx="85">
                  <c:v>1.4005602240896359E-3</c:v>
                </c:pt>
                <c:pt idx="86">
                  <c:v>1.6256502601040416E-3</c:v>
                </c:pt>
                <c:pt idx="87">
                  <c:v>8.6011184229469056E-5</c:v>
                </c:pt>
                <c:pt idx="88">
                  <c:v>1.6256502601040416E-3</c:v>
                </c:pt>
                <c:pt idx="89">
                  <c:v>1.4005602240896359E-3</c:v>
                </c:pt>
                <c:pt idx="90">
                  <c:v>8.6011184229469056E-5</c:v>
                </c:pt>
                <c:pt idx="91">
                  <c:v>8.9502842587904882E-5</c:v>
                </c:pt>
                <c:pt idx="92">
                  <c:v>1.6256502601040416E-3</c:v>
                </c:pt>
                <c:pt idx="93">
                  <c:v>1.7869725535414797E-4</c:v>
                </c:pt>
                <c:pt idx="94">
                  <c:v>8.6011184229469056E-5</c:v>
                </c:pt>
                <c:pt idx="95">
                  <c:v>4.4000000000000003E-3</c:v>
                </c:pt>
                <c:pt idx="96">
                  <c:v>4.4000000000000003E-3</c:v>
                </c:pt>
                <c:pt idx="97">
                  <c:v>4.4000000000000003E-3</c:v>
                </c:pt>
                <c:pt idx="98">
                  <c:v>4.4000000000000003E-3</c:v>
                </c:pt>
                <c:pt idx="99">
                  <c:v>4.4000000000000003E-3</c:v>
                </c:pt>
                <c:pt idx="100">
                  <c:v>4.4000000000000003E-3</c:v>
                </c:pt>
                <c:pt idx="101">
                  <c:v>4.4000000000000003E-3</c:v>
                </c:pt>
                <c:pt idx="102">
                  <c:v>4.4000000000000003E-3</c:v>
                </c:pt>
                <c:pt idx="103">
                  <c:v>4.4000000000000003E-3</c:v>
                </c:pt>
                <c:pt idx="104">
                  <c:v>4.4000000000000003E-3</c:v>
                </c:pt>
                <c:pt idx="105">
                  <c:v>4.4000000000000003E-3</c:v>
                </c:pt>
                <c:pt idx="106">
                  <c:v>4.4000000000000003E-3</c:v>
                </c:pt>
                <c:pt idx="107">
                  <c:v>4.4000000000000003E-3</c:v>
                </c:pt>
                <c:pt idx="108">
                  <c:v>4.4000000000000003E-3</c:v>
                </c:pt>
                <c:pt idx="109">
                  <c:v>4.4000000000000003E-3</c:v>
                </c:pt>
                <c:pt idx="110">
                  <c:v>8.6011184229469056E-5</c:v>
                </c:pt>
                <c:pt idx="111">
                  <c:v>8.9502842587904882E-5</c:v>
                </c:pt>
                <c:pt idx="112">
                  <c:v>8.6011184229469056E-5</c:v>
                </c:pt>
                <c:pt idx="113">
                  <c:v>8.9502842587904882E-5</c:v>
                </c:pt>
                <c:pt idx="114">
                  <c:v>8.6011184229469056E-5</c:v>
                </c:pt>
                <c:pt idx="115">
                  <c:v>8.9502842587904882E-5</c:v>
                </c:pt>
                <c:pt idx="116">
                  <c:v>1.7507002801120447E-3</c:v>
                </c:pt>
                <c:pt idx="117">
                  <c:v>8.6011184229469056E-5</c:v>
                </c:pt>
                <c:pt idx="118">
                  <c:v>8.9502842587904882E-5</c:v>
                </c:pt>
                <c:pt idx="119">
                  <c:v>1.7507002801120447E-3</c:v>
                </c:pt>
                <c:pt idx="120">
                  <c:v>1.7869725535414797E-4</c:v>
                </c:pt>
                <c:pt idx="121">
                  <c:v>1.7507002801120447E-3</c:v>
                </c:pt>
                <c:pt idx="122">
                  <c:v>8.6011184229469056E-5</c:v>
                </c:pt>
                <c:pt idx="123">
                  <c:v>1.7869725535414797E-4</c:v>
                </c:pt>
                <c:pt idx="124">
                  <c:v>8.6011184229469056E-5</c:v>
                </c:pt>
                <c:pt idx="125">
                  <c:v>1.7869725535414797E-4</c:v>
                </c:pt>
                <c:pt idx="126">
                  <c:v>1.7869725535414797E-4</c:v>
                </c:pt>
                <c:pt idx="127">
                  <c:v>8.6011184229469056E-5</c:v>
                </c:pt>
                <c:pt idx="128">
                  <c:v>8.9502842587904882E-5</c:v>
                </c:pt>
                <c:pt idx="129">
                  <c:v>8.6011184229469056E-5</c:v>
                </c:pt>
                <c:pt idx="130">
                  <c:v>8.6011184229469056E-5</c:v>
                </c:pt>
                <c:pt idx="131">
                  <c:v>1.7507002801120447E-3</c:v>
                </c:pt>
                <c:pt idx="132">
                  <c:v>4.0016006402561026E-3</c:v>
                </c:pt>
                <c:pt idx="133">
                  <c:v>1.6256502601040416E-3</c:v>
                </c:pt>
                <c:pt idx="134">
                  <c:v>4.0016006402561026E-3</c:v>
                </c:pt>
                <c:pt idx="135">
                  <c:v>1.6256502601040416E-3</c:v>
                </c:pt>
                <c:pt idx="136">
                  <c:v>1.4005602240896359E-3</c:v>
                </c:pt>
                <c:pt idx="137">
                  <c:v>4.0016006402561026E-3</c:v>
                </c:pt>
                <c:pt idx="138">
                  <c:v>1.6256502601040416E-3</c:v>
                </c:pt>
                <c:pt idx="139">
                  <c:v>1.4005602240896359E-3</c:v>
                </c:pt>
                <c:pt idx="140">
                  <c:v>1.6256502601040416E-3</c:v>
                </c:pt>
                <c:pt idx="141">
                  <c:v>1.7869725535414797E-4</c:v>
                </c:pt>
                <c:pt idx="142">
                  <c:v>1.6256502601040416E-3</c:v>
                </c:pt>
                <c:pt idx="143">
                  <c:v>1.4005602240896359E-3</c:v>
                </c:pt>
                <c:pt idx="144">
                  <c:v>8.6011184229469056E-5</c:v>
                </c:pt>
                <c:pt idx="145">
                  <c:v>1.6256502601040416E-3</c:v>
                </c:pt>
                <c:pt idx="146">
                  <c:v>4.0016006402561026E-3</c:v>
                </c:pt>
                <c:pt idx="147">
                  <c:v>1.6256502601040416E-3</c:v>
                </c:pt>
                <c:pt idx="148">
                  <c:v>1.4005602240896359E-3</c:v>
                </c:pt>
                <c:pt idx="149">
                  <c:v>1.6256502601040416E-3</c:v>
                </c:pt>
                <c:pt idx="150">
                  <c:v>4.4000000000000003E-3</c:v>
                </c:pt>
                <c:pt idx="151">
                  <c:v>4.4000000000000003E-3</c:v>
                </c:pt>
                <c:pt idx="152">
                  <c:v>4.4000000000000003E-3</c:v>
                </c:pt>
                <c:pt idx="153">
                  <c:v>4.4000000000000003E-3</c:v>
                </c:pt>
                <c:pt idx="154">
                  <c:v>4.4000000000000003E-3</c:v>
                </c:pt>
                <c:pt idx="155">
                  <c:v>4.4000000000000003E-3</c:v>
                </c:pt>
                <c:pt idx="156">
                  <c:v>4.4000000000000003E-3</c:v>
                </c:pt>
                <c:pt idx="157">
                  <c:v>4.4000000000000003E-3</c:v>
                </c:pt>
                <c:pt idx="158">
                  <c:v>4.4000000000000003E-3</c:v>
                </c:pt>
                <c:pt idx="159">
                  <c:v>4.4000000000000003E-3</c:v>
                </c:pt>
                <c:pt idx="160">
                  <c:v>4.4000000000000003E-3</c:v>
                </c:pt>
                <c:pt idx="161">
                  <c:v>4.4000000000000003E-3</c:v>
                </c:pt>
                <c:pt idx="162">
                  <c:v>4.4000000000000003E-3</c:v>
                </c:pt>
                <c:pt idx="163">
                  <c:v>4.4000000000000003E-3</c:v>
                </c:pt>
                <c:pt idx="164">
                  <c:v>4.4000000000000003E-3</c:v>
                </c:pt>
              </c:numCache>
            </c:numRef>
          </c:val>
          <c:extLst>
            <c:ext xmlns:c16="http://schemas.microsoft.com/office/drawing/2014/chart" uri="{C3380CC4-5D6E-409C-BE32-E72D297353CC}">
              <c16:uniqueId val="{00000006-F45C-465E-A516-77C650081690}"/>
            </c:ext>
          </c:extLst>
        </c:ser>
        <c:ser>
          <c:idx val="7"/>
          <c:order val="7"/>
          <c:tx>
            <c:strRef>
              <c:f>FIGURES!$J$397</c:f>
              <c:strCache>
                <c:ptCount val="1"/>
                <c:pt idx="0">
                  <c:v>Fuel Cost</c:v>
                </c:pt>
              </c:strCache>
            </c:strRef>
          </c:tx>
          <c:spPr>
            <a:solidFill>
              <a:schemeClr val="accent2">
                <a:lumMod val="60000"/>
              </a:schemeClr>
            </a:solidFill>
            <a:ln>
              <a:noFill/>
            </a:ln>
            <a:effectLst/>
          </c:spPr>
          <c:invertIfNegative val="0"/>
          <c:cat>
            <c:multiLvlStrRef>
              <c:f>FIGURES!$A$398:$B$562</c:f>
              <c:multiLvlStrCache>
                <c:ptCount val="165"/>
                <c:lvl>
                  <c:pt idx="0">
                    <c:v>Sea - Neon bulk - Heavy fuel oil</c:v>
                  </c:pt>
                  <c:pt idx="1">
                    <c:v>Sea - Dry bulk - Heavy fuel oil</c:v>
                  </c:pt>
                  <c:pt idx="2">
                    <c:v>Sea - Container - Heavy fuel oil</c:v>
                  </c:pt>
                  <c:pt idx="3">
                    <c:v>Sea - Break bulk - Heavy fuel oil</c:v>
                  </c:pt>
                  <c:pt idx="4">
                    <c:v>Rail - Dry bulk - Catenary</c:v>
                  </c:pt>
                  <c:pt idx="5">
                    <c:v>Sea - Neon bulk - Maritime gas oil</c:v>
                  </c:pt>
                  <c:pt idx="6">
                    <c:v>Sea - Dry bulk - Maritime gas oil</c:v>
                  </c:pt>
                  <c:pt idx="7">
                    <c:v>Sea - Container - Maritime gas oil</c:v>
                  </c:pt>
                  <c:pt idx="8">
                    <c:v>Sea - Break bulk - Maritime gas oil</c:v>
                  </c:pt>
                  <c:pt idx="9">
                    <c:v>Rail - Dry bulk - Diesel</c:v>
                  </c:pt>
                  <c:pt idx="10">
                    <c:v>Rail - Break bulk - Catenary</c:v>
                  </c:pt>
                  <c:pt idx="11">
                    <c:v>Rail - Dry bulk - Battery</c:v>
                  </c:pt>
                  <c:pt idx="12">
                    <c:v>Rail - Container - Catenary</c:v>
                  </c:pt>
                  <c:pt idx="13">
                    <c:v>Rail - Neon bulk - Catenary</c:v>
                  </c:pt>
                  <c:pt idx="14">
                    <c:v>Rail - Liquid bulk - Catenary</c:v>
                  </c:pt>
                  <c:pt idx="15">
                    <c:v>Rail - Break bulk - Diesel</c:v>
                  </c:pt>
                  <c:pt idx="16">
                    <c:v>Sea - Neon bulk - Ammoina</c:v>
                  </c:pt>
                  <c:pt idx="17">
                    <c:v>Sea - Dry bulk - Ammonia</c:v>
                  </c:pt>
                  <c:pt idx="18">
                    <c:v>Rail - Break bulk - Battery</c:v>
                  </c:pt>
                  <c:pt idx="19">
                    <c:v>Rail - Dry bulk - Hydrogen</c:v>
                  </c:pt>
                  <c:pt idx="20">
                    <c:v>Sea - Neon bulk - Hydrogen</c:v>
                  </c:pt>
                  <c:pt idx="21">
                    <c:v>Sea - Dry bulk - Hydrogen</c:v>
                  </c:pt>
                  <c:pt idx="22">
                    <c:v>Rail - Container - Diesel</c:v>
                  </c:pt>
                  <c:pt idx="23">
                    <c:v>Rail - Neon bulk - Diesel</c:v>
                  </c:pt>
                  <c:pt idx="24">
                    <c:v>Rail - Container - Battery</c:v>
                  </c:pt>
                  <c:pt idx="25">
                    <c:v>Rail - Liquid bulk - Diesel</c:v>
                  </c:pt>
                  <c:pt idx="26">
                    <c:v>Sea - Container - Ammonia</c:v>
                  </c:pt>
                  <c:pt idx="27">
                    <c:v>Rail - Break bulk - Hydrogen</c:v>
                  </c:pt>
                  <c:pt idx="28">
                    <c:v>Rail - Neon bulk - Battery</c:v>
                  </c:pt>
                  <c:pt idx="29">
                    <c:v>Rail - Liquid bulk - Battery</c:v>
                  </c:pt>
                  <c:pt idx="30">
                    <c:v>Sea - Break bulk - Ammonia</c:v>
                  </c:pt>
                  <c:pt idx="31">
                    <c:v>Sea - Container - Hydrogen</c:v>
                  </c:pt>
                  <c:pt idx="32">
                    <c:v>Sea - Break bulk - Hydrogen</c:v>
                  </c:pt>
                  <c:pt idx="33">
                    <c:v>Rail - Container - Hydrogen</c:v>
                  </c:pt>
                  <c:pt idx="34">
                    <c:v>Rail - Neon bulk - Hydrogen</c:v>
                  </c:pt>
                  <c:pt idx="35">
                    <c:v>Rail - Liquid bulk - Hydrogen</c:v>
                  </c:pt>
                  <c:pt idx="36">
                    <c:v>Sea - Neon bulk - Methanol</c:v>
                  </c:pt>
                  <c:pt idx="37">
                    <c:v>Sea - Dry bulk - Methanol</c:v>
                  </c:pt>
                  <c:pt idx="38">
                    <c:v>Sea - Container - Methanol</c:v>
                  </c:pt>
                  <c:pt idx="39">
                    <c:v>Sea - Break bulk - Methanol</c:v>
                  </c:pt>
                  <c:pt idx="40">
                    <c:v>Road - Liquid bulk - Diesel</c:v>
                  </c:pt>
                  <c:pt idx="41">
                    <c:v>Road - Container - Diesel</c:v>
                  </c:pt>
                  <c:pt idx="42">
                    <c:v>Road - Neon bulk - Diesel</c:v>
                  </c:pt>
                  <c:pt idx="43">
                    <c:v>Road - Liquid bulk - Battery</c:v>
                  </c:pt>
                  <c:pt idx="44">
                    <c:v>Road - Container - Battery</c:v>
                  </c:pt>
                  <c:pt idx="45">
                    <c:v>Road - Break bulk - Diesel</c:v>
                  </c:pt>
                  <c:pt idx="46">
                    <c:v>Road - Neon bulk - Battery</c:v>
                  </c:pt>
                  <c:pt idx="47">
                    <c:v>Road - Liquid bulk - Hydrogen</c:v>
                  </c:pt>
                  <c:pt idx="48">
                    <c:v>Road - Container - Hydrogen</c:v>
                  </c:pt>
                  <c:pt idx="49">
                    <c:v>Road - Break bulk - Battery</c:v>
                  </c:pt>
                  <c:pt idx="50">
                    <c:v>Road - Neon bulk - Hydrogen</c:v>
                  </c:pt>
                  <c:pt idx="51">
                    <c:v>Road - Dry bulk - Diesel</c:v>
                  </c:pt>
                  <c:pt idx="52">
                    <c:v>Road - Break bulk - Hydrogen</c:v>
                  </c:pt>
                  <c:pt idx="53">
                    <c:v>Road - Dry bulk - Battery</c:v>
                  </c:pt>
                  <c:pt idx="54">
                    <c:v>Road - Dry bulk - Hydrogen</c:v>
                  </c:pt>
                  <c:pt idx="55">
                    <c:v>Sea - Neon bulk - Heavy fuel oil</c:v>
                  </c:pt>
                  <c:pt idx="56">
                    <c:v>Sea - Dry bulk - Heavy fuel oil</c:v>
                  </c:pt>
                  <c:pt idx="57">
                    <c:v>Rail - Dry bulk - Catenary</c:v>
                  </c:pt>
                  <c:pt idx="58">
                    <c:v>Sea - Neon bulk - Maritime gas oil</c:v>
                  </c:pt>
                  <c:pt idx="59">
                    <c:v>Sea - Dry bulk - Maritime gas oil</c:v>
                  </c:pt>
                  <c:pt idx="60">
                    <c:v>Sea - Container - Heavy fuel oil</c:v>
                  </c:pt>
                  <c:pt idx="61">
                    <c:v>Sea - Break bulk - Heavy fuel oil</c:v>
                  </c:pt>
                  <c:pt idx="62">
                    <c:v>Sea - Container - Maritime gas oil</c:v>
                  </c:pt>
                  <c:pt idx="63">
                    <c:v>Rail - Dry bulk - Battery</c:v>
                  </c:pt>
                  <c:pt idx="64">
                    <c:v>Sea - Break bulk - Maritime gas oil</c:v>
                  </c:pt>
                  <c:pt idx="65">
                    <c:v>Rail - Dry bulk - Diesel</c:v>
                  </c:pt>
                  <c:pt idx="66">
                    <c:v>Rail - Break bulk - Catenary</c:v>
                  </c:pt>
                  <c:pt idx="67">
                    <c:v>Rail - Container - Catenary</c:v>
                  </c:pt>
                  <c:pt idx="68">
                    <c:v>Rail - Dry bulk - Hydrogen</c:v>
                  </c:pt>
                  <c:pt idx="69">
                    <c:v>Rail - Neon bulk - Catenary</c:v>
                  </c:pt>
                  <c:pt idx="70">
                    <c:v>Sea - Neon bulk - Ammoina</c:v>
                  </c:pt>
                  <c:pt idx="71">
                    <c:v>Sea - Dry bulk - Ammonia</c:v>
                  </c:pt>
                  <c:pt idx="72">
                    <c:v>Rail - Liquid bulk - Catenary</c:v>
                  </c:pt>
                  <c:pt idx="73">
                    <c:v>Sea - Neon bulk - Hydrogen</c:v>
                  </c:pt>
                  <c:pt idx="74">
                    <c:v>Sea - Dry bulk - Hydrogen</c:v>
                  </c:pt>
                  <c:pt idx="75">
                    <c:v>Rail - Break bulk - Battery</c:v>
                  </c:pt>
                  <c:pt idx="76">
                    <c:v>Rail - Break bulk - Diesel</c:v>
                  </c:pt>
                  <c:pt idx="77">
                    <c:v>Rail - Break bulk - Hydrogen</c:v>
                  </c:pt>
                  <c:pt idx="78">
                    <c:v>Rail - Container - Battery</c:v>
                  </c:pt>
                  <c:pt idx="79">
                    <c:v>Sea - Container - Ammonia</c:v>
                  </c:pt>
                  <c:pt idx="80">
                    <c:v>Rail - Neon bulk - Battery</c:v>
                  </c:pt>
                  <c:pt idx="81">
                    <c:v>Sea - Container - Hydrogen</c:v>
                  </c:pt>
                  <c:pt idx="82">
                    <c:v>Rail - Container - Diesel</c:v>
                  </c:pt>
                  <c:pt idx="83">
                    <c:v>Rail - Liquid bulk - Battery</c:v>
                  </c:pt>
                  <c:pt idx="84">
                    <c:v>Sea - Break bulk - Ammonia</c:v>
                  </c:pt>
                  <c:pt idx="85">
                    <c:v>Rail - Neon bulk - Diesel</c:v>
                  </c:pt>
                  <c:pt idx="86">
                    <c:v>Rail - Liquid bulk - Diesel</c:v>
                  </c:pt>
                  <c:pt idx="87">
                    <c:v>Sea - Break bulk - Hydrogen</c:v>
                  </c:pt>
                  <c:pt idx="88">
                    <c:v>Rail - Container - Hydrogen</c:v>
                  </c:pt>
                  <c:pt idx="89">
                    <c:v>Rail - Neon bulk - Hydrogen</c:v>
                  </c:pt>
                  <c:pt idx="90">
                    <c:v>Sea - Neon bulk - Methanol</c:v>
                  </c:pt>
                  <c:pt idx="91">
                    <c:v>Sea - Dry bulk - Methanol</c:v>
                  </c:pt>
                  <c:pt idx="92">
                    <c:v>Rail - Liquid bulk - Hydrogen</c:v>
                  </c:pt>
                  <c:pt idx="93">
                    <c:v>Sea - Container - Methanol</c:v>
                  </c:pt>
                  <c:pt idx="94">
                    <c:v>Sea - Break bulk - Methanol</c:v>
                  </c:pt>
                  <c:pt idx="95">
                    <c:v>Road - Liquid bulk - Battery</c:v>
                  </c:pt>
                  <c:pt idx="96">
                    <c:v>Road - Liquid bulk - Diesel</c:v>
                  </c:pt>
                  <c:pt idx="97">
                    <c:v>Road - Container - Battery</c:v>
                  </c:pt>
                  <c:pt idx="98">
                    <c:v>Road - Container - Diesel</c:v>
                  </c:pt>
                  <c:pt idx="99">
                    <c:v>Road - Neon bulk - Diesel</c:v>
                  </c:pt>
                  <c:pt idx="100">
                    <c:v>Road - Neon bulk - Battery</c:v>
                  </c:pt>
                  <c:pt idx="101">
                    <c:v>Road - Liquid bulk - Hydrogen</c:v>
                  </c:pt>
                  <c:pt idx="102">
                    <c:v>Road - Container - Hydrogen</c:v>
                  </c:pt>
                  <c:pt idx="103">
                    <c:v>Road - Neon bulk - Hydrogen</c:v>
                  </c:pt>
                  <c:pt idx="104">
                    <c:v>Road - Break bulk - Diesel</c:v>
                  </c:pt>
                  <c:pt idx="105">
                    <c:v>Road - Break bulk - Battery</c:v>
                  </c:pt>
                  <c:pt idx="106">
                    <c:v>Road - Break bulk - Hydrogen</c:v>
                  </c:pt>
                  <c:pt idx="107">
                    <c:v>Road - Dry bulk - Diesel</c:v>
                  </c:pt>
                  <c:pt idx="108">
                    <c:v>Road - Dry bulk - Battery</c:v>
                  </c:pt>
                  <c:pt idx="109">
                    <c:v>Road - Dry bulk - Hydrogen</c:v>
                  </c:pt>
                  <c:pt idx="110">
                    <c:v>Sea - Neon bulk - Heavy fuel oil</c:v>
                  </c:pt>
                  <c:pt idx="111">
                    <c:v>Sea - Dry bulk - Heavy fuel oil</c:v>
                  </c:pt>
                  <c:pt idx="112">
                    <c:v>Sea - Neon bulk - Maritime gas oil</c:v>
                  </c:pt>
                  <c:pt idx="113">
                    <c:v>Sea - Dry bulk - Maritime gas oil</c:v>
                  </c:pt>
                  <c:pt idx="114">
                    <c:v>Sea - Neon bulk - Ammoina</c:v>
                  </c:pt>
                  <c:pt idx="115">
                    <c:v>Sea - Dry bulk - Ammonia</c:v>
                  </c:pt>
                  <c:pt idx="116">
                    <c:v>Rail - Dry bulk - Catenary</c:v>
                  </c:pt>
                  <c:pt idx="117">
                    <c:v>Sea - Neon bulk - Hydrogen</c:v>
                  </c:pt>
                  <c:pt idx="118">
                    <c:v>Sea - Dry bulk - Hydrogen</c:v>
                  </c:pt>
                  <c:pt idx="119">
                    <c:v>Rail - Dry bulk - Hydrogen</c:v>
                  </c:pt>
                  <c:pt idx="120">
                    <c:v>Sea - Container - Heavy fuel oil</c:v>
                  </c:pt>
                  <c:pt idx="121">
                    <c:v>Rail - Dry bulk - Battery</c:v>
                  </c:pt>
                  <c:pt idx="122">
                    <c:v>Sea - Break bulk - Heavy fuel oil</c:v>
                  </c:pt>
                  <c:pt idx="123">
                    <c:v>Sea - Container - Maritime gas oil</c:v>
                  </c:pt>
                  <c:pt idx="124">
                    <c:v>Sea - Break bulk - Maritime gas oil</c:v>
                  </c:pt>
                  <c:pt idx="125">
                    <c:v>Sea - Container - Ammonia</c:v>
                  </c:pt>
                  <c:pt idx="126">
                    <c:v>Sea - Container - Hydrogen</c:v>
                  </c:pt>
                  <c:pt idx="127">
                    <c:v>Sea - Neon bulk - Methanol</c:v>
                  </c:pt>
                  <c:pt idx="128">
                    <c:v>Sea - Dry bulk - Methanol</c:v>
                  </c:pt>
                  <c:pt idx="129">
                    <c:v>Sea - Break bulk - Ammonia</c:v>
                  </c:pt>
                  <c:pt idx="130">
                    <c:v>Sea - Break bulk - Hydrogen</c:v>
                  </c:pt>
                  <c:pt idx="131">
                    <c:v>Rail - Dry bulk - Diesel</c:v>
                  </c:pt>
                  <c:pt idx="132">
                    <c:v>Rail - Break bulk - Catenary</c:v>
                  </c:pt>
                  <c:pt idx="133">
                    <c:v>Rail - Container - Catenary</c:v>
                  </c:pt>
                  <c:pt idx="134">
                    <c:v>Rail - Break bulk - Hydrogen</c:v>
                  </c:pt>
                  <c:pt idx="135">
                    <c:v>Rail - Container - Hydrogen</c:v>
                  </c:pt>
                  <c:pt idx="136">
                    <c:v>Rail - Neon bulk - Catenary</c:v>
                  </c:pt>
                  <c:pt idx="137">
                    <c:v>Rail - Break bulk - Battery</c:v>
                  </c:pt>
                  <c:pt idx="138">
                    <c:v>Rail - Liquid bulk - Catenary</c:v>
                  </c:pt>
                  <c:pt idx="139">
                    <c:v>Rail - Neon bulk - Hydrogen</c:v>
                  </c:pt>
                  <c:pt idx="140">
                    <c:v>Rail - Container - Battery</c:v>
                  </c:pt>
                  <c:pt idx="141">
                    <c:v>Sea - Container - Methanol</c:v>
                  </c:pt>
                  <c:pt idx="142">
                    <c:v>Rail - Liquid bulk - Hydrogen</c:v>
                  </c:pt>
                  <c:pt idx="143">
                    <c:v>Rail - Neon bulk - Battery</c:v>
                  </c:pt>
                  <c:pt idx="144">
                    <c:v>Sea - Break bulk - Methanol</c:v>
                  </c:pt>
                  <c:pt idx="145">
                    <c:v>Rail - Liquid bulk - Battery</c:v>
                  </c:pt>
                  <c:pt idx="146">
                    <c:v>Rail - Break bulk - Diesel</c:v>
                  </c:pt>
                  <c:pt idx="147">
                    <c:v>Rail - Container - Diesel</c:v>
                  </c:pt>
                  <c:pt idx="148">
                    <c:v>Rail - Neon bulk - Diesel</c:v>
                  </c:pt>
                  <c:pt idx="149">
                    <c:v>Rail - Liquid bulk - Diesel</c:v>
                  </c:pt>
                  <c:pt idx="150">
                    <c:v>Road - Liquid bulk - Battery</c:v>
                  </c:pt>
                  <c:pt idx="151">
                    <c:v>Road - Container - Battery</c:v>
                  </c:pt>
                  <c:pt idx="152">
                    <c:v>Road - Liquid bulk - Diesel</c:v>
                  </c:pt>
                  <c:pt idx="153">
                    <c:v>Road - Liquid bulk - Hydrogen</c:v>
                  </c:pt>
                  <c:pt idx="154">
                    <c:v>Road - Container - Diesel</c:v>
                  </c:pt>
                  <c:pt idx="155">
                    <c:v>Road - Container - Hydrogen</c:v>
                  </c:pt>
                  <c:pt idx="156">
                    <c:v>Road - Neon bulk - Battery</c:v>
                  </c:pt>
                  <c:pt idx="157">
                    <c:v>Road - Neon bulk - Diesel</c:v>
                  </c:pt>
                  <c:pt idx="158">
                    <c:v>Road - Neon bulk - Hydrogen</c:v>
                  </c:pt>
                  <c:pt idx="159">
                    <c:v>Road - Break bulk - Battery</c:v>
                  </c:pt>
                  <c:pt idx="160">
                    <c:v>Road - Break bulk - Diesel</c:v>
                  </c:pt>
                  <c:pt idx="161">
                    <c:v>Road - Break bulk - Hydrogen</c:v>
                  </c:pt>
                  <c:pt idx="162">
                    <c:v>Road - Dry bulk - Battery</c:v>
                  </c:pt>
                  <c:pt idx="163">
                    <c:v>Road - Dry bulk - Diesel</c:v>
                  </c:pt>
                  <c:pt idx="164">
                    <c:v>Road - Dry bulk - Hydrogen</c:v>
                  </c:pt>
                </c:lvl>
                <c:lvl>
                  <c:pt idx="0">
                    <c:v>2023</c:v>
                  </c:pt>
                  <c:pt idx="55">
                    <c:v>2034</c:v>
                  </c:pt>
                  <c:pt idx="110">
                    <c:v>2050</c:v>
                  </c:pt>
                </c:lvl>
              </c:multiLvlStrCache>
            </c:multiLvlStrRef>
          </c:cat>
          <c:val>
            <c:numRef>
              <c:f>FIGURES!$J$398:$J$562</c:f>
              <c:numCache>
                <c:formatCode>General</c:formatCode>
                <c:ptCount val="165"/>
                <c:pt idx="0">
                  <c:v>1.7783083301043669E-3</c:v>
                </c:pt>
                <c:pt idx="1">
                  <c:v>1.7783083301043669E-3</c:v>
                </c:pt>
                <c:pt idx="2">
                  <c:v>1.7783083301043669E-3</c:v>
                </c:pt>
                <c:pt idx="3">
                  <c:v>1.7783083301043669E-3</c:v>
                </c:pt>
                <c:pt idx="4">
                  <c:v>1.0618078130184294E-3</c:v>
                </c:pt>
                <c:pt idx="5">
                  <c:v>3.9670353002494918E-3</c:v>
                </c:pt>
                <c:pt idx="6">
                  <c:v>3.9670353002494918E-3</c:v>
                </c:pt>
                <c:pt idx="7">
                  <c:v>3.9670353002494918E-3</c:v>
                </c:pt>
                <c:pt idx="8">
                  <c:v>3.9670353002494918E-3</c:v>
                </c:pt>
                <c:pt idx="9">
                  <c:v>1.9863208475390157E-3</c:v>
                </c:pt>
                <c:pt idx="10">
                  <c:v>1.0618078130184294E-3</c:v>
                </c:pt>
                <c:pt idx="11">
                  <c:v>1.1281708013320809E-3</c:v>
                </c:pt>
                <c:pt idx="12">
                  <c:v>1.0618078130184294E-3</c:v>
                </c:pt>
                <c:pt idx="13">
                  <c:v>8.4944625041474342E-4</c:v>
                </c:pt>
                <c:pt idx="14">
                  <c:v>1.0618078130184294E-3</c:v>
                </c:pt>
                <c:pt idx="15">
                  <c:v>1.9863208475390157E-3</c:v>
                </c:pt>
                <c:pt idx="16">
                  <c:v>9.2128900440359533E-3</c:v>
                </c:pt>
                <c:pt idx="17">
                  <c:v>9.2128900440359533E-3</c:v>
                </c:pt>
                <c:pt idx="18">
                  <c:v>1.1281708013320809E-3</c:v>
                </c:pt>
                <c:pt idx="19">
                  <c:v>3.6471540369930736E-3</c:v>
                </c:pt>
                <c:pt idx="20">
                  <c:v>1.0440356851305966E-2</c:v>
                </c:pt>
                <c:pt idx="21">
                  <c:v>1.0440356851305966E-2</c:v>
                </c:pt>
                <c:pt idx="22">
                  <c:v>1.9863208475390157E-3</c:v>
                </c:pt>
                <c:pt idx="23">
                  <c:v>1.5890566780312125E-3</c:v>
                </c:pt>
                <c:pt idx="24">
                  <c:v>1.1281708013320809E-3</c:v>
                </c:pt>
                <c:pt idx="25">
                  <c:v>1.9863208475390157E-3</c:v>
                </c:pt>
                <c:pt idx="26">
                  <c:v>9.2128900440359533E-3</c:v>
                </c:pt>
                <c:pt idx="27">
                  <c:v>3.6471540369930736E-3</c:v>
                </c:pt>
                <c:pt idx="28">
                  <c:v>9.0253664106566486E-4</c:v>
                </c:pt>
                <c:pt idx="29">
                  <c:v>1.1281708013320809E-3</c:v>
                </c:pt>
                <c:pt idx="30">
                  <c:v>9.2128900440359533E-3</c:v>
                </c:pt>
                <c:pt idx="31">
                  <c:v>1.0440356851305966E-2</c:v>
                </c:pt>
                <c:pt idx="32">
                  <c:v>1.0440356851305966E-2</c:v>
                </c:pt>
                <c:pt idx="33">
                  <c:v>3.6471540369930736E-3</c:v>
                </c:pt>
                <c:pt idx="34">
                  <c:v>2.917723229594459E-3</c:v>
                </c:pt>
                <c:pt idx="35">
                  <c:v>3.6471540369930736E-3</c:v>
                </c:pt>
                <c:pt idx="36">
                  <c:v>2.2412966844817715E-2</c:v>
                </c:pt>
                <c:pt idx="37">
                  <c:v>2.2412966844817715E-2</c:v>
                </c:pt>
                <c:pt idx="38">
                  <c:v>2.2412966844817715E-2</c:v>
                </c:pt>
                <c:pt idx="39">
                  <c:v>2.2412966844817715E-2</c:v>
                </c:pt>
                <c:pt idx="40">
                  <c:v>6.7070446072256132E-3</c:v>
                </c:pt>
                <c:pt idx="41">
                  <c:v>6.7070446072256132E-3</c:v>
                </c:pt>
                <c:pt idx="42">
                  <c:v>6.7070446072256132E-3</c:v>
                </c:pt>
                <c:pt idx="43">
                  <c:v>4.5138905873477273E-3</c:v>
                </c:pt>
                <c:pt idx="44">
                  <c:v>4.5138905873477264E-3</c:v>
                </c:pt>
                <c:pt idx="45">
                  <c:v>6.7070446072256132E-3</c:v>
                </c:pt>
                <c:pt idx="46">
                  <c:v>4.5138905873477273E-3</c:v>
                </c:pt>
                <c:pt idx="47">
                  <c:v>1.6766513853443448E-2</c:v>
                </c:pt>
                <c:pt idx="48">
                  <c:v>1.6766513853443448E-2</c:v>
                </c:pt>
                <c:pt idx="49">
                  <c:v>4.5138905873477264E-3</c:v>
                </c:pt>
                <c:pt idx="50">
                  <c:v>1.6766513853443448E-2</c:v>
                </c:pt>
                <c:pt idx="51">
                  <c:v>6.7070446072256132E-3</c:v>
                </c:pt>
                <c:pt idx="52">
                  <c:v>1.6766513853443448E-2</c:v>
                </c:pt>
                <c:pt idx="53">
                  <c:v>4.5138905873477273E-3</c:v>
                </c:pt>
                <c:pt idx="54">
                  <c:v>1.6766513853443448E-2</c:v>
                </c:pt>
                <c:pt idx="55">
                  <c:v>8.3893771583125115E-4</c:v>
                </c:pt>
                <c:pt idx="56">
                  <c:v>8.3893771583125115E-4</c:v>
                </c:pt>
                <c:pt idx="57">
                  <c:v>1.1389617660873472E-3</c:v>
                </c:pt>
                <c:pt idx="58">
                  <c:v>1.8714952165904367E-3</c:v>
                </c:pt>
                <c:pt idx="59">
                  <c:v>1.8714952165904367E-3</c:v>
                </c:pt>
                <c:pt idx="60">
                  <c:v>8.3893771583125115E-4</c:v>
                </c:pt>
                <c:pt idx="61">
                  <c:v>8.3893771583125115E-4</c:v>
                </c:pt>
                <c:pt idx="62">
                  <c:v>1.8714952165904367E-3</c:v>
                </c:pt>
                <c:pt idx="63">
                  <c:v>1.2101468764678064E-3</c:v>
                </c:pt>
                <c:pt idx="64">
                  <c:v>1.8714952165904367E-3</c:v>
                </c:pt>
                <c:pt idx="65">
                  <c:v>9.4423626496312793E-4</c:v>
                </c:pt>
                <c:pt idx="66">
                  <c:v>1.1389617660873472E-3</c:v>
                </c:pt>
                <c:pt idx="67">
                  <c:v>1.1389617660873472E-3</c:v>
                </c:pt>
                <c:pt idx="68">
                  <c:v>2.7891216554751389E-3</c:v>
                </c:pt>
                <c:pt idx="69">
                  <c:v>9.1116941286987769E-4</c:v>
                </c:pt>
                <c:pt idx="70">
                  <c:v>8.0928925477125307E-3</c:v>
                </c:pt>
                <c:pt idx="71">
                  <c:v>8.0928925477125307E-3</c:v>
                </c:pt>
                <c:pt idx="72">
                  <c:v>1.1389617660873472E-3</c:v>
                </c:pt>
                <c:pt idx="73">
                  <c:v>8.4398865141135527E-3</c:v>
                </c:pt>
                <c:pt idx="74">
                  <c:v>8.4398865141135527E-3</c:v>
                </c:pt>
                <c:pt idx="75">
                  <c:v>1.2101468764678064E-3</c:v>
                </c:pt>
                <c:pt idx="76">
                  <c:v>9.4423626496312793E-4</c:v>
                </c:pt>
                <c:pt idx="77">
                  <c:v>2.7891216554751389E-3</c:v>
                </c:pt>
                <c:pt idx="78">
                  <c:v>1.2101468764678064E-3</c:v>
                </c:pt>
                <c:pt idx="79">
                  <c:v>8.0928925477125307E-3</c:v>
                </c:pt>
                <c:pt idx="80">
                  <c:v>9.6811750117424501E-4</c:v>
                </c:pt>
                <c:pt idx="81">
                  <c:v>8.4398865141135527E-3</c:v>
                </c:pt>
                <c:pt idx="82">
                  <c:v>9.4423626496312793E-4</c:v>
                </c:pt>
                <c:pt idx="83">
                  <c:v>1.2101468764678064E-3</c:v>
                </c:pt>
                <c:pt idx="84">
                  <c:v>8.0928925477125307E-3</c:v>
                </c:pt>
                <c:pt idx="85">
                  <c:v>7.5538901197050236E-4</c:v>
                </c:pt>
                <c:pt idx="86">
                  <c:v>9.4423626496312793E-4</c:v>
                </c:pt>
                <c:pt idx="87">
                  <c:v>8.4398865141135527E-3</c:v>
                </c:pt>
                <c:pt idx="88">
                  <c:v>2.7891216554751389E-3</c:v>
                </c:pt>
                <c:pt idx="89">
                  <c:v>2.231297324380111E-3</c:v>
                </c:pt>
                <c:pt idx="90">
                  <c:v>1.3920695198697394E-2</c:v>
                </c:pt>
                <c:pt idx="91">
                  <c:v>1.3920695198697394E-2</c:v>
                </c:pt>
                <c:pt idx="92">
                  <c:v>2.7891216554751389E-3</c:v>
                </c:pt>
                <c:pt idx="93">
                  <c:v>1.3920695198697394E-2</c:v>
                </c:pt>
                <c:pt idx="94">
                  <c:v>1.3920695198697394E-2</c:v>
                </c:pt>
                <c:pt idx="95">
                  <c:v>3.9641770245885813E-3</c:v>
                </c:pt>
                <c:pt idx="96">
                  <c:v>2.9533510719556709E-3</c:v>
                </c:pt>
                <c:pt idx="97">
                  <c:v>3.9641770245885813E-3</c:v>
                </c:pt>
                <c:pt idx="98">
                  <c:v>2.9533510719556709E-3</c:v>
                </c:pt>
                <c:pt idx="99">
                  <c:v>2.9533510719556709E-3</c:v>
                </c:pt>
                <c:pt idx="100">
                  <c:v>3.9641770245885813E-3</c:v>
                </c:pt>
                <c:pt idx="101">
                  <c:v>1.0972566388332368E-2</c:v>
                </c:pt>
                <c:pt idx="102">
                  <c:v>1.0972566388332368E-2</c:v>
                </c:pt>
                <c:pt idx="103">
                  <c:v>1.0972566388332368E-2</c:v>
                </c:pt>
                <c:pt idx="104">
                  <c:v>2.9533510719556709E-3</c:v>
                </c:pt>
                <c:pt idx="105">
                  <c:v>3.9641770245885813E-3</c:v>
                </c:pt>
                <c:pt idx="106">
                  <c:v>1.0972566388332368E-2</c:v>
                </c:pt>
                <c:pt idx="107">
                  <c:v>2.9533510719556709E-3</c:v>
                </c:pt>
                <c:pt idx="108">
                  <c:v>5.5719568088488311E-3</c:v>
                </c:pt>
                <c:pt idx="109">
                  <c:v>1.0972566388332368E-2</c:v>
                </c:pt>
                <c:pt idx="110">
                  <c:v>5.0846159148288761E-4</c:v>
                </c:pt>
                <c:pt idx="111">
                  <c:v>5.0846159148288761E-4</c:v>
                </c:pt>
                <c:pt idx="112">
                  <c:v>1.1342718515609E-3</c:v>
                </c:pt>
                <c:pt idx="113">
                  <c:v>1.1342718515609E-3</c:v>
                </c:pt>
                <c:pt idx="114">
                  <c:v>5.06422406492032E-3</c:v>
                </c:pt>
                <c:pt idx="115">
                  <c:v>5.06422406492032E-3</c:v>
                </c:pt>
                <c:pt idx="116">
                  <c:v>9.5501545114864679E-4</c:v>
                </c:pt>
                <c:pt idx="117">
                  <c:v>4.940203737995261E-3</c:v>
                </c:pt>
                <c:pt idx="118">
                  <c:v>4.940203737995261E-3</c:v>
                </c:pt>
                <c:pt idx="119">
                  <c:v>1.6572125060485827E-3</c:v>
                </c:pt>
                <c:pt idx="120">
                  <c:v>5.0846159148288761E-4</c:v>
                </c:pt>
                <c:pt idx="121">
                  <c:v>1.0147039168454373E-3</c:v>
                </c:pt>
                <c:pt idx="122">
                  <c:v>5.0846159148288761E-4</c:v>
                </c:pt>
                <c:pt idx="123">
                  <c:v>1.1342718515609E-3</c:v>
                </c:pt>
                <c:pt idx="124">
                  <c:v>1.1342718515609E-3</c:v>
                </c:pt>
                <c:pt idx="125">
                  <c:v>5.06422406492032E-3</c:v>
                </c:pt>
                <c:pt idx="126">
                  <c:v>4.940203737995261E-3</c:v>
                </c:pt>
                <c:pt idx="127">
                  <c:v>7.4748051717039628E-3</c:v>
                </c:pt>
                <c:pt idx="128">
                  <c:v>7.4748051717039628E-3</c:v>
                </c:pt>
                <c:pt idx="129">
                  <c:v>5.06422406492032E-3</c:v>
                </c:pt>
                <c:pt idx="130">
                  <c:v>4.940203737995261E-3</c:v>
                </c:pt>
                <c:pt idx="131">
                  <c:v>6.1155198507974618E-4</c:v>
                </c:pt>
                <c:pt idx="132">
                  <c:v>9.5501545114864679E-4</c:v>
                </c:pt>
                <c:pt idx="133">
                  <c:v>9.5501545114864679E-4</c:v>
                </c:pt>
                <c:pt idx="134">
                  <c:v>1.6572125060485827E-3</c:v>
                </c:pt>
                <c:pt idx="135">
                  <c:v>1.6572125060485827E-3</c:v>
                </c:pt>
                <c:pt idx="136">
                  <c:v>7.6401236091891737E-4</c:v>
                </c:pt>
                <c:pt idx="137">
                  <c:v>1.0147039168454373E-3</c:v>
                </c:pt>
                <c:pt idx="138">
                  <c:v>9.5501545114864679E-4</c:v>
                </c:pt>
                <c:pt idx="139">
                  <c:v>1.3257700048388663E-3</c:v>
                </c:pt>
                <c:pt idx="140">
                  <c:v>1.0147039168454373E-3</c:v>
                </c:pt>
                <c:pt idx="141">
                  <c:v>7.4748051717039628E-3</c:v>
                </c:pt>
                <c:pt idx="142">
                  <c:v>1.6572125060485827E-3</c:v>
                </c:pt>
                <c:pt idx="143">
                  <c:v>8.1176313347634972E-4</c:v>
                </c:pt>
                <c:pt idx="144">
                  <c:v>7.4748051717039628E-3</c:v>
                </c:pt>
                <c:pt idx="145">
                  <c:v>1.0147039168454373E-3</c:v>
                </c:pt>
                <c:pt idx="146">
                  <c:v>6.1155198507974618E-4</c:v>
                </c:pt>
                <c:pt idx="147">
                  <c:v>6.1155198507974618E-4</c:v>
                </c:pt>
                <c:pt idx="148">
                  <c:v>4.8924158806379694E-4</c:v>
                </c:pt>
                <c:pt idx="149">
                  <c:v>6.1155198507974618E-4</c:v>
                </c:pt>
                <c:pt idx="150">
                  <c:v>3.113117391921032E-3</c:v>
                </c:pt>
                <c:pt idx="151">
                  <c:v>3.113117391921032E-3</c:v>
                </c:pt>
                <c:pt idx="152">
                  <c:v>1.7136393401738417E-3</c:v>
                </c:pt>
                <c:pt idx="153">
                  <c:v>6.4282809894911476E-3</c:v>
                </c:pt>
                <c:pt idx="154">
                  <c:v>1.7136393401738417E-3</c:v>
                </c:pt>
                <c:pt idx="155">
                  <c:v>6.4282809894911476E-3</c:v>
                </c:pt>
                <c:pt idx="156">
                  <c:v>3.113117391921032E-3</c:v>
                </c:pt>
                <c:pt idx="157">
                  <c:v>1.7136393401738417E-3</c:v>
                </c:pt>
                <c:pt idx="158">
                  <c:v>6.4282809894911476E-3</c:v>
                </c:pt>
                <c:pt idx="159">
                  <c:v>3.113117391921032E-3</c:v>
                </c:pt>
                <c:pt idx="160">
                  <c:v>1.7136393401738417E-3</c:v>
                </c:pt>
                <c:pt idx="161">
                  <c:v>6.4282809894911476E-3</c:v>
                </c:pt>
                <c:pt idx="162">
                  <c:v>4.0342174151229478E-3</c:v>
                </c:pt>
                <c:pt idx="163">
                  <c:v>1.7136393401738417E-3</c:v>
                </c:pt>
                <c:pt idx="164">
                  <c:v>6.4282809894911476E-3</c:v>
                </c:pt>
              </c:numCache>
            </c:numRef>
          </c:val>
          <c:extLst>
            <c:ext xmlns:c16="http://schemas.microsoft.com/office/drawing/2014/chart" uri="{C3380CC4-5D6E-409C-BE32-E72D297353CC}">
              <c16:uniqueId val="{00000007-F45C-465E-A516-77C650081690}"/>
            </c:ext>
          </c:extLst>
        </c:ser>
        <c:ser>
          <c:idx val="8"/>
          <c:order val="8"/>
          <c:tx>
            <c:strRef>
              <c:f>FIGURES!$K$397</c:f>
              <c:strCache>
                <c:ptCount val="1"/>
                <c:pt idx="0">
                  <c:v>Market failure (av. utilization)</c:v>
                </c:pt>
              </c:strCache>
            </c:strRef>
          </c:tx>
          <c:spPr>
            <a:solidFill>
              <a:schemeClr val="accent3">
                <a:lumMod val="60000"/>
              </a:schemeClr>
            </a:solidFill>
            <a:ln>
              <a:noFill/>
            </a:ln>
            <a:effectLst/>
          </c:spPr>
          <c:invertIfNegative val="0"/>
          <c:cat>
            <c:multiLvlStrRef>
              <c:f>FIGURES!$A$398:$B$562</c:f>
              <c:multiLvlStrCache>
                <c:ptCount val="165"/>
                <c:lvl>
                  <c:pt idx="0">
                    <c:v>Sea - Neon bulk - Heavy fuel oil</c:v>
                  </c:pt>
                  <c:pt idx="1">
                    <c:v>Sea - Dry bulk - Heavy fuel oil</c:v>
                  </c:pt>
                  <c:pt idx="2">
                    <c:v>Sea - Container - Heavy fuel oil</c:v>
                  </c:pt>
                  <c:pt idx="3">
                    <c:v>Sea - Break bulk - Heavy fuel oil</c:v>
                  </c:pt>
                  <c:pt idx="4">
                    <c:v>Rail - Dry bulk - Catenary</c:v>
                  </c:pt>
                  <c:pt idx="5">
                    <c:v>Sea - Neon bulk - Maritime gas oil</c:v>
                  </c:pt>
                  <c:pt idx="6">
                    <c:v>Sea - Dry bulk - Maritime gas oil</c:v>
                  </c:pt>
                  <c:pt idx="7">
                    <c:v>Sea - Container - Maritime gas oil</c:v>
                  </c:pt>
                  <c:pt idx="8">
                    <c:v>Sea - Break bulk - Maritime gas oil</c:v>
                  </c:pt>
                  <c:pt idx="9">
                    <c:v>Rail - Dry bulk - Diesel</c:v>
                  </c:pt>
                  <c:pt idx="10">
                    <c:v>Rail - Break bulk - Catenary</c:v>
                  </c:pt>
                  <c:pt idx="11">
                    <c:v>Rail - Dry bulk - Battery</c:v>
                  </c:pt>
                  <c:pt idx="12">
                    <c:v>Rail - Container - Catenary</c:v>
                  </c:pt>
                  <c:pt idx="13">
                    <c:v>Rail - Neon bulk - Catenary</c:v>
                  </c:pt>
                  <c:pt idx="14">
                    <c:v>Rail - Liquid bulk - Catenary</c:v>
                  </c:pt>
                  <c:pt idx="15">
                    <c:v>Rail - Break bulk - Diesel</c:v>
                  </c:pt>
                  <c:pt idx="16">
                    <c:v>Sea - Neon bulk - Ammoina</c:v>
                  </c:pt>
                  <c:pt idx="17">
                    <c:v>Sea - Dry bulk - Ammonia</c:v>
                  </c:pt>
                  <c:pt idx="18">
                    <c:v>Rail - Break bulk - Battery</c:v>
                  </c:pt>
                  <c:pt idx="19">
                    <c:v>Rail - Dry bulk - Hydrogen</c:v>
                  </c:pt>
                  <c:pt idx="20">
                    <c:v>Sea - Neon bulk - Hydrogen</c:v>
                  </c:pt>
                  <c:pt idx="21">
                    <c:v>Sea - Dry bulk - Hydrogen</c:v>
                  </c:pt>
                  <c:pt idx="22">
                    <c:v>Rail - Container - Diesel</c:v>
                  </c:pt>
                  <c:pt idx="23">
                    <c:v>Rail - Neon bulk - Diesel</c:v>
                  </c:pt>
                  <c:pt idx="24">
                    <c:v>Rail - Container - Battery</c:v>
                  </c:pt>
                  <c:pt idx="25">
                    <c:v>Rail - Liquid bulk - Diesel</c:v>
                  </c:pt>
                  <c:pt idx="26">
                    <c:v>Sea - Container - Ammonia</c:v>
                  </c:pt>
                  <c:pt idx="27">
                    <c:v>Rail - Break bulk - Hydrogen</c:v>
                  </c:pt>
                  <c:pt idx="28">
                    <c:v>Rail - Neon bulk - Battery</c:v>
                  </c:pt>
                  <c:pt idx="29">
                    <c:v>Rail - Liquid bulk - Battery</c:v>
                  </c:pt>
                  <c:pt idx="30">
                    <c:v>Sea - Break bulk - Ammonia</c:v>
                  </c:pt>
                  <c:pt idx="31">
                    <c:v>Sea - Container - Hydrogen</c:v>
                  </c:pt>
                  <c:pt idx="32">
                    <c:v>Sea - Break bulk - Hydrogen</c:v>
                  </c:pt>
                  <c:pt idx="33">
                    <c:v>Rail - Container - Hydrogen</c:v>
                  </c:pt>
                  <c:pt idx="34">
                    <c:v>Rail - Neon bulk - Hydrogen</c:v>
                  </c:pt>
                  <c:pt idx="35">
                    <c:v>Rail - Liquid bulk - Hydrogen</c:v>
                  </c:pt>
                  <c:pt idx="36">
                    <c:v>Sea - Neon bulk - Methanol</c:v>
                  </c:pt>
                  <c:pt idx="37">
                    <c:v>Sea - Dry bulk - Methanol</c:v>
                  </c:pt>
                  <c:pt idx="38">
                    <c:v>Sea - Container - Methanol</c:v>
                  </c:pt>
                  <c:pt idx="39">
                    <c:v>Sea - Break bulk - Methanol</c:v>
                  </c:pt>
                  <c:pt idx="40">
                    <c:v>Road - Liquid bulk - Diesel</c:v>
                  </c:pt>
                  <c:pt idx="41">
                    <c:v>Road - Container - Diesel</c:v>
                  </c:pt>
                  <c:pt idx="42">
                    <c:v>Road - Neon bulk - Diesel</c:v>
                  </c:pt>
                  <c:pt idx="43">
                    <c:v>Road - Liquid bulk - Battery</c:v>
                  </c:pt>
                  <c:pt idx="44">
                    <c:v>Road - Container - Battery</c:v>
                  </c:pt>
                  <c:pt idx="45">
                    <c:v>Road - Break bulk - Diesel</c:v>
                  </c:pt>
                  <c:pt idx="46">
                    <c:v>Road - Neon bulk - Battery</c:v>
                  </c:pt>
                  <c:pt idx="47">
                    <c:v>Road - Liquid bulk - Hydrogen</c:v>
                  </c:pt>
                  <c:pt idx="48">
                    <c:v>Road - Container - Hydrogen</c:v>
                  </c:pt>
                  <c:pt idx="49">
                    <c:v>Road - Break bulk - Battery</c:v>
                  </c:pt>
                  <c:pt idx="50">
                    <c:v>Road - Neon bulk - Hydrogen</c:v>
                  </c:pt>
                  <c:pt idx="51">
                    <c:v>Road - Dry bulk - Diesel</c:v>
                  </c:pt>
                  <c:pt idx="52">
                    <c:v>Road - Break bulk - Hydrogen</c:v>
                  </c:pt>
                  <c:pt idx="53">
                    <c:v>Road - Dry bulk - Battery</c:v>
                  </c:pt>
                  <c:pt idx="54">
                    <c:v>Road - Dry bulk - Hydrogen</c:v>
                  </c:pt>
                  <c:pt idx="55">
                    <c:v>Sea - Neon bulk - Heavy fuel oil</c:v>
                  </c:pt>
                  <c:pt idx="56">
                    <c:v>Sea - Dry bulk - Heavy fuel oil</c:v>
                  </c:pt>
                  <c:pt idx="57">
                    <c:v>Rail - Dry bulk - Catenary</c:v>
                  </c:pt>
                  <c:pt idx="58">
                    <c:v>Sea - Neon bulk - Maritime gas oil</c:v>
                  </c:pt>
                  <c:pt idx="59">
                    <c:v>Sea - Dry bulk - Maritime gas oil</c:v>
                  </c:pt>
                  <c:pt idx="60">
                    <c:v>Sea - Container - Heavy fuel oil</c:v>
                  </c:pt>
                  <c:pt idx="61">
                    <c:v>Sea - Break bulk - Heavy fuel oil</c:v>
                  </c:pt>
                  <c:pt idx="62">
                    <c:v>Sea - Container - Maritime gas oil</c:v>
                  </c:pt>
                  <c:pt idx="63">
                    <c:v>Rail - Dry bulk - Battery</c:v>
                  </c:pt>
                  <c:pt idx="64">
                    <c:v>Sea - Break bulk - Maritime gas oil</c:v>
                  </c:pt>
                  <c:pt idx="65">
                    <c:v>Rail - Dry bulk - Diesel</c:v>
                  </c:pt>
                  <c:pt idx="66">
                    <c:v>Rail - Break bulk - Catenary</c:v>
                  </c:pt>
                  <c:pt idx="67">
                    <c:v>Rail - Container - Catenary</c:v>
                  </c:pt>
                  <c:pt idx="68">
                    <c:v>Rail - Dry bulk - Hydrogen</c:v>
                  </c:pt>
                  <c:pt idx="69">
                    <c:v>Rail - Neon bulk - Catenary</c:v>
                  </c:pt>
                  <c:pt idx="70">
                    <c:v>Sea - Neon bulk - Ammoina</c:v>
                  </c:pt>
                  <c:pt idx="71">
                    <c:v>Sea - Dry bulk - Ammonia</c:v>
                  </c:pt>
                  <c:pt idx="72">
                    <c:v>Rail - Liquid bulk - Catenary</c:v>
                  </c:pt>
                  <c:pt idx="73">
                    <c:v>Sea - Neon bulk - Hydrogen</c:v>
                  </c:pt>
                  <c:pt idx="74">
                    <c:v>Sea - Dry bulk - Hydrogen</c:v>
                  </c:pt>
                  <c:pt idx="75">
                    <c:v>Rail - Break bulk - Battery</c:v>
                  </c:pt>
                  <c:pt idx="76">
                    <c:v>Rail - Break bulk - Diesel</c:v>
                  </c:pt>
                  <c:pt idx="77">
                    <c:v>Rail - Break bulk - Hydrogen</c:v>
                  </c:pt>
                  <c:pt idx="78">
                    <c:v>Rail - Container - Battery</c:v>
                  </c:pt>
                  <c:pt idx="79">
                    <c:v>Sea - Container - Ammonia</c:v>
                  </c:pt>
                  <c:pt idx="80">
                    <c:v>Rail - Neon bulk - Battery</c:v>
                  </c:pt>
                  <c:pt idx="81">
                    <c:v>Sea - Container - Hydrogen</c:v>
                  </c:pt>
                  <c:pt idx="82">
                    <c:v>Rail - Container - Diesel</c:v>
                  </c:pt>
                  <c:pt idx="83">
                    <c:v>Rail - Liquid bulk - Battery</c:v>
                  </c:pt>
                  <c:pt idx="84">
                    <c:v>Sea - Break bulk - Ammonia</c:v>
                  </c:pt>
                  <c:pt idx="85">
                    <c:v>Rail - Neon bulk - Diesel</c:v>
                  </c:pt>
                  <c:pt idx="86">
                    <c:v>Rail - Liquid bulk - Diesel</c:v>
                  </c:pt>
                  <c:pt idx="87">
                    <c:v>Sea - Break bulk - Hydrogen</c:v>
                  </c:pt>
                  <c:pt idx="88">
                    <c:v>Rail - Container - Hydrogen</c:v>
                  </c:pt>
                  <c:pt idx="89">
                    <c:v>Rail - Neon bulk - Hydrogen</c:v>
                  </c:pt>
                  <c:pt idx="90">
                    <c:v>Sea - Neon bulk - Methanol</c:v>
                  </c:pt>
                  <c:pt idx="91">
                    <c:v>Sea - Dry bulk - Methanol</c:v>
                  </c:pt>
                  <c:pt idx="92">
                    <c:v>Rail - Liquid bulk - Hydrogen</c:v>
                  </c:pt>
                  <c:pt idx="93">
                    <c:v>Sea - Container - Methanol</c:v>
                  </c:pt>
                  <c:pt idx="94">
                    <c:v>Sea - Break bulk - Methanol</c:v>
                  </c:pt>
                  <c:pt idx="95">
                    <c:v>Road - Liquid bulk - Battery</c:v>
                  </c:pt>
                  <c:pt idx="96">
                    <c:v>Road - Liquid bulk - Diesel</c:v>
                  </c:pt>
                  <c:pt idx="97">
                    <c:v>Road - Container - Battery</c:v>
                  </c:pt>
                  <c:pt idx="98">
                    <c:v>Road - Container - Diesel</c:v>
                  </c:pt>
                  <c:pt idx="99">
                    <c:v>Road - Neon bulk - Diesel</c:v>
                  </c:pt>
                  <c:pt idx="100">
                    <c:v>Road - Neon bulk - Battery</c:v>
                  </c:pt>
                  <c:pt idx="101">
                    <c:v>Road - Liquid bulk - Hydrogen</c:v>
                  </c:pt>
                  <c:pt idx="102">
                    <c:v>Road - Container - Hydrogen</c:v>
                  </c:pt>
                  <c:pt idx="103">
                    <c:v>Road - Neon bulk - Hydrogen</c:v>
                  </c:pt>
                  <c:pt idx="104">
                    <c:v>Road - Break bulk - Diesel</c:v>
                  </c:pt>
                  <c:pt idx="105">
                    <c:v>Road - Break bulk - Battery</c:v>
                  </c:pt>
                  <c:pt idx="106">
                    <c:v>Road - Break bulk - Hydrogen</c:v>
                  </c:pt>
                  <c:pt idx="107">
                    <c:v>Road - Dry bulk - Diesel</c:v>
                  </c:pt>
                  <c:pt idx="108">
                    <c:v>Road - Dry bulk - Battery</c:v>
                  </c:pt>
                  <c:pt idx="109">
                    <c:v>Road - Dry bulk - Hydrogen</c:v>
                  </c:pt>
                  <c:pt idx="110">
                    <c:v>Sea - Neon bulk - Heavy fuel oil</c:v>
                  </c:pt>
                  <c:pt idx="111">
                    <c:v>Sea - Dry bulk - Heavy fuel oil</c:v>
                  </c:pt>
                  <c:pt idx="112">
                    <c:v>Sea - Neon bulk - Maritime gas oil</c:v>
                  </c:pt>
                  <c:pt idx="113">
                    <c:v>Sea - Dry bulk - Maritime gas oil</c:v>
                  </c:pt>
                  <c:pt idx="114">
                    <c:v>Sea - Neon bulk - Ammoina</c:v>
                  </c:pt>
                  <c:pt idx="115">
                    <c:v>Sea - Dry bulk - Ammonia</c:v>
                  </c:pt>
                  <c:pt idx="116">
                    <c:v>Rail - Dry bulk - Catenary</c:v>
                  </c:pt>
                  <c:pt idx="117">
                    <c:v>Sea - Neon bulk - Hydrogen</c:v>
                  </c:pt>
                  <c:pt idx="118">
                    <c:v>Sea - Dry bulk - Hydrogen</c:v>
                  </c:pt>
                  <c:pt idx="119">
                    <c:v>Rail - Dry bulk - Hydrogen</c:v>
                  </c:pt>
                  <c:pt idx="120">
                    <c:v>Sea - Container - Heavy fuel oil</c:v>
                  </c:pt>
                  <c:pt idx="121">
                    <c:v>Rail - Dry bulk - Battery</c:v>
                  </c:pt>
                  <c:pt idx="122">
                    <c:v>Sea - Break bulk - Heavy fuel oil</c:v>
                  </c:pt>
                  <c:pt idx="123">
                    <c:v>Sea - Container - Maritime gas oil</c:v>
                  </c:pt>
                  <c:pt idx="124">
                    <c:v>Sea - Break bulk - Maritime gas oil</c:v>
                  </c:pt>
                  <c:pt idx="125">
                    <c:v>Sea - Container - Ammonia</c:v>
                  </c:pt>
                  <c:pt idx="126">
                    <c:v>Sea - Container - Hydrogen</c:v>
                  </c:pt>
                  <c:pt idx="127">
                    <c:v>Sea - Neon bulk - Methanol</c:v>
                  </c:pt>
                  <c:pt idx="128">
                    <c:v>Sea - Dry bulk - Methanol</c:v>
                  </c:pt>
                  <c:pt idx="129">
                    <c:v>Sea - Break bulk - Ammonia</c:v>
                  </c:pt>
                  <c:pt idx="130">
                    <c:v>Sea - Break bulk - Hydrogen</c:v>
                  </c:pt>
                  <c:pt idx="131">
                    <c:v>Rail - Dry bulk - Diesel</c:v>
                  </c:pt>
                  <c:pt idx="132">
                    <c:v>Rail - Break bulk - Catenary</c:v>
                  </c:pt>
                  <c:pt idx="133">
                    <c:v>Rail - Container - Catenary</c:v>
                  </c:pt>
                  <c:pt idx="134">
                    <c:v>Rail - Break bulk - Hydrogen</c:v>
                  </c:pt>
                  <c:pt idx="135">
                    <c:v>Rail - Container - Hydrogen</c:v>
                  </c:pt>
                  <c:pt idx="136">
                    <c:v>Rail - Neon bulk - Catenary</c:v>
                  </c:pt>
                  <c:pt idx="137">
                    <c:v>Rail - Break bulk - Battery</c:v>
                  </c:pt>
                  <c:pt idx="138">
                    <c:v>Rail - Liquid bulk - Catenary</c:v>
                  </c:pt>
                  <c:pt idx="139">
                    <c:v>Rail - Neon bulk - Hydrogen</c:v>
                  </c:pt>
                  <c:pt idx="140">
                    <c:v>Rail - Container - Battery</c:v>
                  </c:pt>
                  <c:pt idx="141">
                    <c:v>Sea - Container - Methanol</c:v>
                  </c:pt>
                  <c:pt idx="142">
                    <c:v>Rail - Liquid bulk - Hydrogen</c:v>
                  </c:pt>
                  <c:pt idx="143">
                    <c:v>Rail - Neon bulk - Battery</c:v>
                  </c:pt>
                  <c:pt idx="144">
                    <c:v>Sea - Break bulk - Methanol</c:v>
                  </c:pt>
                  <c:pt idx="145">
                    <c:v>Rail - Liquid bulk - Battery</c:v>
                  </c:pt>
                  <c:pt idx="146">
                    <c:v>Rail - Break bulk - Diesel</c:v>
                  </c:pt>
                  <c:pt idx="147">
                    <c:v>Rail - Container - Diesel</c:v>
                  </c:pt>
                  <c:pt idx="148">
                    <c:v>Rail - Neon bulk - Diesel</c:v>
                  </c:pt>
                  <c:pt idx="149">
                    <c:v>Rail - Liquid bulk - Diesel</c:v>
                  </c:pt>
                  <c:pt idx="150">
                    <c:v>Road - Liquid bulk - Battery</c:v>
                  </c:pt>
                  <c:pt idx="151">
                    <c:v>Road - Container - Battery</c:v>
                  </c:pt>
                  <c:pt idx="152">
                    <c:v>Road - Liquid bulk - Diesel</c:v>
                  </c:pt>
                  <c:pt idx="153">
                    <c:v>Road - Liquid bulk - Hydrogen</c:v>
                  </c:pt>
                  <c:pt idx="154">
                    <c:v>Road - Container - Diesel</c:v>
                  </c:pt>
                  <c:pt idx="155">
                    <c:v>Road - Container - Hydrogen</c:v>
                  </c:pt>
                  <c:pt idx="156">
                    <c:v>Road - Neon bulk - Battery</c:v>
                  </c:pt>
                  <c:pt idx="157">
                    <c:v>Road - Neon bulk - Diesel</c:v>
                  </c:pt>
                  <c:pt idx="158">
                    <c:v>Road - Neon bulk - Hydrogen</c:v>
                  </c:pt>
                  <c:pt idx="159">
                    <c:v>Road - Break bulk - Battery</c:v>
                  </c:pt>
                  <c:pt idx="160">
                    <c:v>Road - Break bulk - Diesel</c:v>
                  </c:pt>
                  <c:pt idx="161">
                    <c:v>Road - Break bulk - Hydrogen</c:v>
                  </c:pt>
                  <c:pt idx="162">
                    <c:v>Road - Dry bulk - Battery</c:v>
                  </c:pt>
                  <c:pt idx="163">
                    <c:v>Road - Dry bulk - Diesel</c:v>
                  </c:pt>
                  <c:pt idx="164">
                    <c:v>Road - Dry bulk - Hydrogen</c:v>
                  </c:pt>
                </c:lvl>
                <c:lvl>
                  <c:pt idx="0">
                    <c:v>2023</c:v>
                  </c:pt>
                  <c:pt idx="55">
                    <c:v>2034</c:v>
                  </c:pt>
                  <c:pt idx="110">
                    <c:v>2050</c:v>
                  </c:pt>
                </c:lvl>
              </c:multiLvlStrCache>
            </c:multiLvlStrRef>
          </c:cat>
          <c:val>
            <c:numRef>
              <c:f>FIGURES!$K$398:$K$562</c:f>
              <c:numCache>
                <c:formatCode>General</c:formatCode>
                <c:ptCount val="165"/>
                <c:pt idx="0">
                  <c:v>2.9162513237674494E-3</c:v>
                </c:pt>
                <c:pt idx="1">
                  <c:v>2.9178944571125968E-3</c:v>
                </c:pt>
                <c:pt idx="2">
                  <c:v>4.906601167950787E-3</c:v>
                </c:pt>
                <c:pt idx="3">
                  <c:v>5.7203391350823087E-3</c:v>
                </c:pt>
                <c:pt idx="4">
                  <c:v>4.4001530545965031E-3</c:v>
                </c:pt>
                <c:pt idx="5">
                  <c:v>3.9023055164758708E-3</c:v>
                </c:pt>
                <c:pt idx="6">
                  <c:v>3.9039486498210173E-3</c:v>
                </c:pt>
                <c:pt idx="7">
                  <c:v>6.4659426820013136E-3</c:v>
                </c:pt>
                <c:pt idx="8">
                  <c:v>7.6545223592411338E-3</c:v>
                </c:pt>
                <c:pt idx="9">
                  <c:v>5.7991848248987732E-3</c:v>
                </c:pt>
                <c:pt idx="10">
                  <c:v>4.6955202776046354E-3</c:v>
                </c:pt>
                <c:pt idx="11">
                  <c:v>5.9810797503883975E-3</c:v>
                </c:pt>
                <c:pt idx="12">
                  <c:v>9.8501076864698552E-3</c:v>
                </c:pt>
                <c:pt idx="13">
                  <c:v>1.1869814287170643E-2</c:v>
                </c:pt>
                <c:pt idx="14">
                  <c:v>1.0601523517690763E-2</c:v>
                </c:pt>
                <c:pt idx="15">
                  <c:v>5.6627521188012675E-3</c:v>
                </c:pt>
                <c:pt idx="16">
                  <c:v>6.0945448314446739E-3</c:v>
                </c:pt>
                <c:pt idx="17">
                  <c:v>6.0961879647898221E-3</c:v>
                </c:pt>
                <c:pt idx="18">
                  <c:v>5.7885066351891553E-3</c:v>
                </c:pt>
                <c:pt idx="19">
                  <c:v>7.552263897556661E-3</c:v>
                </c:pt>
                <c:pt idx="20">
                  <c:v>6.6700729733000976E-3</c:v>
                </c:pt>
                <c:pt idx="21">
                  <c:v>6.6717161066452441E-3</c:v>
                </c:pt>
                <c:pt idx="22">
                  <c:v>1.3192239137747501E-2</c:v>
                </c:pt>
                <c:pt idx="23">
                  <c:v>1.5709379256777983E-2</c:v>
                </c:pt>
                <c:pt idx="24">
                  <c:v>1.3626765904194938E-2</c:v>
                </c:pt>
                <c:pt idx="25">
                  <c:v>1.3943654968968412E-2</c:v>
                </c:pt>
                <c:pt idx="26">
                  <c:v>9.9327397382310504E-3</c:v>
                </c:pt>
                <c:pt idx="27">
                  <c:v>6.8747574036017826E-3</c:v>
                </c:pt>
                <c:pt idx="28">
                  <c:v>1.620857977451062E-2</c:v>
                </c:pt>
                <c:pt idx="29">
                  <c:v>1.4378181735415848E-2</c:v>
                </c:pt>
                <c:pt idx="30">
                  <c:v>1.1954684092449177E-2</c:v>
                </c:pt>
                <c:pt idx="31">
                  <c:v>1.0842877264886136E-2</c:v>
                </c:pt>
                <c:pt idx="32">
                  <c:v>1.308360467839635E-2</c:v>
                </c:pt>
                <c:pt idx="33">
                  <c:v>1.7380150255763571E-2</c:v>
                </c:pt>
                <c:pt idx="34">
                  <c:v>2.0520607378405747E-2</c:v>
                </c:pt>
                <c:pt idx="35">
                  <c:v>1.8131566086984477E-2</c:v>
                </c:pt>
                <c:pt idx="36">
                  <c:v>1.2076452272758692E-2</c:v>
                </c:pt>
                <c:pt idx="37">
                  <c:v>1.2078095406103839E-2</c:v>
                </c:pt>
                <c:pt idx="38">
                  <c:v>1.9392500343099733E-2</c:v>
                </c:pt>
                <c:pt idx="39">
                  <c:v>2.3688425611949754E-2</c:v>
                </c:pt>
                <c:pt idx="40">
                  <c:v>3.0995725591998417E-2</c:v>
                </c:pt>
                <c:pt idx="41">
                  <c:v>3.4748133323923014E-2</c:v>
                </c:pt>
                <c:pt idx="42">
                  <c:v>3.3414262094814663E-2</c:v>
                </c:pt>
                <c:pt idx="43">
                  <c:v>3.5345999219999452E-2</c:v>
                </c:pt>
                <c:pt idx="44">
                  <c:v>4.0006032951821188E-2</c:v>
                </c:pt>
                <c:pt idx="45">
                  <c:v>4.4260497647690286E-2</c:v>
                </c:pt>
                <c:pt idx="46">
                  <c:v>4.1008426970787201E-2</c:v>
                </c:pt>
                <c:pt idx="47">
                  <c:v>4.440549632941837E-2</c:v>
                </c:pt>
                <c:pt idx="48">
                  <c:v>5.0269023965708245E-2</c:v>
                </c:pt>
                <c:pt idx="49">
                  <c:v>5.2429230566777354E-2</c:v>
                </c:pt>
                <c:pt idx="50">
                  <c:v>5.0523242107292449E-2</c:v>
                </c:pt>
                <c:pt idx="51">
                  <c:v>7.3615237784611098E-2</c:v>
                </c:pt>
                <c:pt idx="52">
                  <c:v>6.3524977150509809E-2</c:v>
                </c:pt>
                <c:pt idx="53">
                  <c:v>8.9695708793934376E-2</c:v>
                </c:pt>
                <c:pt idx="54">
                  <c:v>0.10521224346623681</c:v>
                </c:pt>
                <c:pt idx="55">
                  <c:v>3.5699250078989383E-3</c:v>
                </c:pt>
                <c:pt idx="56">
                  <c:v>3.5715681412440848E-3</c:v>
                </c:pt>
                <c:pt idx="57">
                  <c:v>4.449253029051102E-3</c:v>
                </c:pt>
                <c:pt idx="58">
                  <c:v>3.9561109317160486E-3</c:v>
                </c:pt>
                <c:pt idx="59">
                  <c:v>3.9577540650611951E-3</c:v>
                </c:pt>
                <c:pt idx="60">
                  <c:v>5.9403176916936039E-3</c:v>
                </c:pt>
                <c:pt idx="61">
                  <c:v>7.0025452078017643E-3</c:v>
                </c:pt>
                <c:pt idx="62">
                  <c:v>6.5510303154043843E-3</c:v>
                </c:pt>
                <c:pt idx="63">
                  <c:v>5.5217220027272348E-3</c:v>
                </c:pt>
                <c:pt idx="64">
                  <c:v>7.7600637506737881E-3</c:v>
                </c:pt>
                <c:pt idx="65">
                  <c:v>5.8882474069036368E-3</c:v>
                </c:pt>
                <c:pt idx="66">
                  <c:v>4.7294659389559655E-3</c:v>
                </c:pt>
                <c:pt idx="67">
                  <c:v>9.9674020698891797E-3</c:v>
                </c:pt>
                <c:pt idx="68">
                  <c:v>6.260286177716106E-3</c:v>
                </c:pt>
                <c:pt idx="69">
                  <c:v>1.2004566439284936E-2</c:v>
                </c:pt>
                <c:pt idx="70">
                  <c:v>5.564257122632716E-3</c:v>
                </c:pt>
                <c:pt idx="71">
                  <c:v>5.5659002559778625E-3</c:v>
                </c:pt>
                <c:pt idx="72">
                  <c:v>1.0718817901110086E-2</c:v>
                </c:pt>
                <c:pt idx="73">
                  <c:v>5.7292969451736304E-3</c:v>
                </c:pt>
                <c:pt idx="74">
                  <c:v>5.7309400785187752E-3</c:v>
                </c:pt>
                <c:pt idx="75">
                  <c:v>5.4709259701394633E-3</c:v>
                </c:pt>
                <c:pt idx="76">
                  <c:v>5.7243262495700609E-3</c:v>
                </c:pt>
                <c:pt idx="77">
                  <c:v>5.9815382392675726E-3</c:v>
                </c:pt>
                <c:pt idx="78">
                  <c:v>1.2529411284782162E-2</c:v>
                </c:pt>
                <c:pt idx="79">
                  <c:v>9.0941452219702769E-3</c:v>
                </c:pt>
                <c:pt idx="80">
                  <c:v>1.4947897955929429E-2</c:v>
                </c:pt>
                <c:pt idx="81">
                  <c:v>9.3551384297093972E-3</c:v>
                </c:pt>
                <c:pt idx="82">
                  <c:v>1.3404999750314676E-2</c:v>
                </c:pt>
                <c:pt idx="83">
                  <c:v>1.3280827116003065E-2</c:v>
                </c:pt>
                <c:pt idx="84">
                  <c:v>1.091450435593341E-2</c:v>
                </c:pt>
                <c:pt idx="85">
                  <c:v>1.5953806565169107E-2</c:v>
                </c:pt>
                <c:pt idx="86">
                  <c:v>1.4156415581535584E-2</c:v>
                </c:pt>
                <c:pt idx="87">
                  <c:v>1.1238236315532892E-2</c:v>
                </c:pt>
                <c:pt idx="88">
                  <c:v>1.4293759036144467E-2</c:v>
                </c:pt>
                <c:pt idx="89">
                  <c:v>1.6974846302843336E-2</c:v>
                </c:pt>
                <c:pt idx="90">
                  <c:v>8.1118929489114346E-3</c:v>
                </c:pt>
                <c:pt idx="91">
                  <c:v>8.1135360822565811E-3</c:v>
                </c:pt>
                <c:pt idx="92">
                  <c:v>1.5045174867365377E-2</c:v>
                </c:pt>
                <c:pt idx="93">
                  <c:v>1.3122964668178486E-2</c:v>
                </c:pt>
                <c:pt idx="94">
                  <c:v>1.5911790015172438E-2</c:v>
                </c:pt>
                <c:pt idx="95">
                  <c:v>2.9463664725734917E-2</c:v>
                </c:pt>
                <c:pt idx="96">
                  <c:v>3.1084119898928536E-2</c:v>
                </c:pt>
                <c:pt idx="97">
                  <c:v>3.3114522643168463E-2</c:v>
                </c:pt>
                <c:pt idx="98">
                  <c:v>3.4861448144276573E-2</c:v>
                </c:pt>
                <c:pt idx="99">
                  <c:v>3.162902934130532E-2</c:v>
                </c:pt>
                <c:pt idx="100">
                  <c:v>3.3882163687579639E-2</c:v>
                </c:pt>
                <c:pt idx="101">
                  <c:v>3.5294919091141033E-2</c:v>
                </c:pt>
                <c:pt idx="102">
                  <c:v>3.9742443413038342E-2</c:v>
                </c:pt>
                <c:pt idx="103">
                  <c:v>4.0098188472876384E-2</c:v>
                </c:pt>
                <c:pt idx="104">
                  <c:v>4.4482292650851143E-2</c:v>
                </c:pt>
                <c:pt idx="105">
                  <c:v>4.3262632152977029E-2</c:v>
                </c:pt>
                <c:pt idx="106">
                  <c:v>5.0594280188657401E-2</c:v>
                </c:pt>
                <c:pt idx="107">
                  <c:v>7.4111531894700183E-2</c:v>
                </c:pt>
                <c:pt idx="108">
                  <c:v>7.4923389165429066E-2</c:v>
                </c:pt>
                <c:pt idx="109">
                  <c:v>8.4223934738628159E-2</c:v>
                </c:pt>
                <c:pt idx="110">
                  <c:v>3.3539259234580216E-3</c:v>
                </c:pt>
                <c:pt idx="111">
                  <c:v>3.3555690568031673E-3</c:v>
                </c:pt>
                <c:pt idx="112">
                  <c:v>3.5528777426874734E-3</c:v>
                </c:pt>
                <c:pt idx="113">
                  <c:v>3.5545208760326182E-3</c:v>
                </c:pt>
                <c:pt idx="114">
                  <c:v>3.6343278663374659E-3</c:v>
                </c:pt>
                <c:pt idx="115">
                  <c:v>3.6359709996826124E-3</c:v>
                </c:pt>
                <c:pt idx="116">
                  <c:v>4.3229024027396723E-3</c:v>
                </c:pt>
                <c:pt idx="117">
                  <c:v>3.6190681758916177E-3</c:v>
                </c:pt>
                <c:pt idx="118">
                  <c:v>3.6207113092367642E-3</c:v>
                </c:pt>
                <c:pt idx="119">
                  <c:v>4.4914442387143094E-3</c:v>
                </c:pt>
                <c:pt idx="120">
                  <c:v>5.5987377442056419E-3</c:v>
                </c:pt>
                <c:pt idx="121">
                  <c:v>4.7180775412858002E-3</c:v>
                </c:pt>
                <c:pt idx="122">
                  <c:v>6.5788546960138137E-3</c:v>
                </c:pt>
                <c:pt idx="123">
                  <c:v>5.9133592257777992E-3</c:v>
                </c:pt>
                <c:pt idx="124">
                  <c:v>6.9691063414254305E-3</c:v>
                </c:pt>
                <c:pt idx="125">
                  <c:v>6.0421640724801131E-3</c:v>
                </c:pt>
                <c:pt idx="126">
                  <c:v>6.0180324689843544E-3</c:v>
                </c:pt>
                <c:pt idx="127">
                  <c:v>4.7394124851903377E-3</c:v>
                </c:pt>
                <c:pt idx="128">
                  <c:v>4.7410556185354842E-3</c:v>
                </c:pt>
                <c:pt idx="129">
                  <c:v>7.1288738916619543E-3</c:v>
                </c:pt>
                <c:pt idx="130">
                  <c:v>7.0989414219412511E-3</c:v>
                </c:pt>
                <c:pt idx="131">
                  <c:v>5.7250706595787359E-3</c:v>
                </c:pt>
                <c:pt idx="132">
                  <c:v>4.6421124195307768E-3</c:v>
                </c:pt>
                <c:pt idx="133">
                  <c:v>9.6655644625896486E-3</c:v>
                </c:pt>
                <c:pt idx="134">
                  <c:v>4.7586351703280579E-3</c:v>
                </c:pt>
                <c:pt idx="135">
                  <c:v>1.0068192181862393E-2</c:v>
                </c:pt>
                <c:pt idx="136">
                  <c:v>1.165780416485245E-2</c:v>
                </c:pt>
                <c:pt idx="137">
                  <c:v>4.9153199227231631E-3</c:v>
                </c:pt>
                <c:pt idx="138">
                  <c:v>1.0416980293810559E-2</c:v>
                </c:pt>
                <c:pt idx="139">
                  <c:v>1.212035787024951E-2</c:v>
                </c:pt>
                <c:pt idx="140">
                  <c:v>1.0609593960227624E-2</c:v>
                </c:pt>
                <c:pt idx="141">
                  <c:v>7.7897397488055839E-3</c:v>
                </c:pt>
                <c:pt idx="142">
                  <c:v>1.08196080130833E-2</c:v>
                </c:pt>
                <c:pt idx="143">
                  <c:v>1.2742340378417937E-2</c:v>
                </c:pt>
                <c:pt idx="144">
                  <c:v>9.2965398747964327E-3</c:v>
                </c:pt>
                <c:pt idx="145">
                  <c:v>1.1361009791448535E-2</c:v>
                </c:pt>
                <c:pt idx="146">
                  <c:v>5.6115126958639575E-3</c:v>
                </c:pt>
                <c:pt idx="147">
                  <c:v>1.3015188631705189E-2</c:v>
                </c:pt>
                <c:pt idx="148">
                  <c:v>1.5505977047510767E-2</c:v>
                </c:pt>
                <c:pt idx="149">
                  <c:v>1.3766604462926097E-2</c:v>
                </c:pt>
                <c:pt idx="150">
                  <c:v>2.7282787191532938E-2</c:v>
                </c:pt>
                <c:pt idx="151">
                  <c:v>3.0584670404040087E-2</c:v>
                </c:pt>
                <c:pt idx="152">
                  <c:v>3.0362775456119165E-2</c:v>
                </c:pt>
                <c:pt idx="153">
                  <c:v>3.0011302960061749E-2</c:v>
                </c:pt>
                <c:pt idx="154">
                  <c:v>3.4071626020197837E-2</c:v>
                </c:pt>
                <c:pt idx="155">
                  <c:v>3.3688781384214522E-2</c:v>
                </c:pt>
                <c:pt idx="156">
                  <c:v>3.134493334029434E-2</c:v>
                </c:pt>
                <c:pt idx="157">
                  <c:v>3.1358591335074237E-2</c:v>
                </c:pt>
                <c:pt idx="158">
                  <c:v>3.4265251413943702E-2</c:v>
                </c:pt>
                <c:pt idx="159">
                  <c:v>4.0081027133875929E-2</c:v>
                </c:pt>
                <c:pt idx="160">
                  <c:v>4.3834430531863561E-2</c:v>
                </c:pt>
                <c:pt idx="161">
                  <c:v>4.3535935641045784E-2</c:v>
                </c:pt>
                <c:pt idx="162">
                  <c:v>6.9097617972363107E-2</c:v>
                </c:pt>
                <c:pt idx="163">
                  <c:v>7.3591825191863691E-2</c:v>
                </c:pt>
                <c:pt idx="164">
                  <c:v>7.3390771136010391E-2</c:v>
                </c:pt>
              </c:numCache>
            </c:numRef>
          </c:val>
          <c:extLst>
            <c:ext xmlns:c16="http://schemas.microsoft.com/office/drawing/2014/chart" uri="{C3380CC4-5D6E-409C-BE32-E72D297353CC}">
              <c16:uniqueId val="{00000008-F45C-465E-A516-77C650081690}"/>
            </c:ext>
          </c:extLst>
        </c:ser>
        <c:ser>
          <c:idx val="9"/>
          <c:order val="9"/>
          <c:tx>
            <c:strRef>
              <c:f>FIGURES!$L$397</c:f>
              <c:strCache>
                <c:ptCount val="1"/>
                <c:pt idx="0">
                  <c:v>Payload loss (fuel)</c:v>
                </c:pt>
              </c:strCache>
            </c:strRef>
          </c:tx>
          <c:spPr>
            <a:solidFill>
              <a:schemeClr val="accent4">
                <a:lumMod val="60000"/>
              </a:schemeClr>
            </a:solidFill>
            <a:ln>
              <a:noFill/>
            </a:ln>
            <a:effectLst/>
          </c:spPr>
          <c:invertIfNegative val="0"/>
          <c:cat>
            <c:multiLvlStrRef>
              <c:f>FIGURES!$A$398:$B$562</c:f>
              <c:multiLvlStrCache>
                <c:ptCount val="165"/>
                <c:lvl>
                  <c:pt idx="0">
                    <c:v>Sea - Neon bulk - Heavy fuel oil</c:v>
                  </c:pt>
                  <c:pt idx="1">
                    <c:v>Sea - Dry bulk - Heavy fuel oil</c:v>
                  </c:pt>
                  <c:pt idx="2">
                    <c:v>Sea - Container - Heavy fuel oil</c:v>
                  </c:pt>
                  <c:pt idx="3">
                    <c:v>Sea - Break bulk - Heavy fuel oil</c:v>
                  </c:pt>
                  <c:pt idx="4">
                    <c:v>Rail - Dry bulk - Catenary</c:v>
                  </c:pt>
                  <c:pt idx="5">
                    <c:v>Sea - Neon bulk - Maritime gas oil</c:v>
                  </c:pt>
                  <c:pt idx="6">
                    <c:v>Sea - Dry bulk - Maritime gas oil</c:v>
                  </c:pt>
                  <c:pt idx="7">
                    <c:v>Sea - Container - Maritime gas oil</c:v>
                  </c:pt>
                  <c:pt idx="8">
                    <c:v>Sea - Break bulk - Maritime gas oil</c:v>
                  </c:pt>
                  <c:pt idx="9">
                    <c:v>Rail - Dry bulk - Diesel</c:v>
                  </c:pt>
                  <c:pt idx="10">
                    <c:v>Rail - Break bulk - Catenary</c:v>
                  </c:pt>
                  <c:pt idx="11">
                    <c:v>Rail - Dry bulk - Battery</c:v>
                  </c:pt>
                  <c:pt idx="12">
                    <c:v>Rail - Container - Catenary</c:v>
                  </c:pt>
                  <c:pt idx="13">
                    <c:v>Rail - Neon bulk - Catenary</c:v>
                  </c:pt>
                  <c:pt idx="14">
                    <c:v>Rail - Liquid bulk - Catenary</c:v>
                  </c:pt>
                  <c:pt idx="15">
                    <c:v>Rail - Break bulk - Diesel</c:v>
                  </c:pt>
                  <c:pt idx="16">
                    <c:v>Sea - Neon bulk - Ammoina</c:v>
                  </c:pt>
                  <c:pt idx="17">
                    <c:v>Sea - Dry bulk - Ammonia</c:v>
                  </c:pt>
                  <c:pt idx="18">
                    <c:v>Rail - Break bulk - Battery</c:v>
                  </c:pt>
                  <c:pt idx="19">
                    <c:v>Rail - Dry bulk - Hydrogen</c:v>
                  </c:pt>
                  <c:pt idx="20">
                    <c:v>Sea - Neon bulk - Hydrogen</c:v>
                  </c:pt>
                  <c:pt idx="21">
                    <c:v>Sea - Dry bulk - Hydrogen</c:v>
                  </c:pt>
                  <c:pt idx="22">
                    <c:v>Rail - Container - Diesel</c:v>
                  </c:pt>
                  <c:pt idx="23">
                    <c:v>Rail - Neon bulk - Diesel</c:v>
                  </c:pt>
                  <c:pt idx="24">
                    <c:v>Rail - Container - Battery</c:v>
                  </c:pt>
                  <c:pt idx="25">
                    <c:v>Rail - Liquid bulk - Diesel</c:v>
                  </c:pt>
                  <c:pt idx="26">
                    <c:v>Sea - Container - Ammonia</c:v>
                  </c:pt>
                  <c:pt idx="27">
                    <c:v>Rail - Break bulk - Hydrogen</c:v>
                  </c:pt>
                  <c:pt idx="28">
                    <c:v>Rail - Neon bulk - Battery</c:v>
                  </c:pt>
                  <c:pt idx="29">
                    <c:v>Rail - Liquid bulk - Battery</c:v>
                  </c:pt>
                  <c:pt idx="30">
                    <c:v>Sea - Break bulk - Ammonia</c:v>
                  </c:pt>
                  <c:pt idx="31">
                    <c:v>Sea - Container - Hydrogen</c:v>
                  </c:pt>
                  <c:pt idx="32">
                    <c:v>Sea - Break bulk - Hydrogen</c:v>
                  </c:pt>
                  <c:pt idx="33">
                    <c:v>Rail - Container - Hydrogen</c:v>
                  </c:pt>
                  <c:pt idx="34">
                    <c:v>Rail - Neon bulk - Hydrogen</c:v>
                  </c:pt>
                  <c:pt idx="35">
                    <c:v>Rail - Liquid bulk - Hydrogen</c:v>
                  </c:pt>
                  <c:pt idx="36">
                    <c:v>Sea - Neon bulk - Methanol</c:v>
                  </c:pt>
                  <c:pt idx="37">
                    <c:v>Sea - Dry bulk - Methanol</c:v>
                  </c:pt>
                  <c:pt idx="38">
                    <c:v>Sea - Container - Methanol</c:v>
                  </c:pt>
                  <c:pt idx="39">
                    <c:v>Sea - Break bulk - Methanol</c:v>
                  </c:pt>
                  <c:pt idx="40">
                    <c:v>Road - Liquid bulk - Diesel</c:v>
                  </c:pt>
                  <c:pt idx="41">
                    <c:v>Road - Container - Diesel</c:v>
                  </c:pt>
                  <c:pt idx="42">
                    <c:v>Road - Neon bulk - Diesel</c:v>
                  </c:pt>
                  <c:pt idx="43">
                    <c:v>Road - Liquid bulk - Battery</c:v>
                  </c:pt>
                  <c:pt idx="44">
                    <c:v>Road - Container - Battery</c:v>
                  </c:pt>
                  <c:pt idx="45">
                    <c:v>Road - Break bulk - Diesel</c:v>
                  </c:pt>
                  <c:pt idx="46">
                    <c:v>Road - Neon bulk - Battery</c:v>
                  </c:pt>
                  <c:pt idx="47">
                    <c:v>Road - Liquid bulk - Hydrogen</c:v>
                  </c:pt>
                  <c:pt idx="48">
                    <c:v>Road - Container - Hydrogen</c:v>
                  </c:pt>
                  <c:pt idx="49">
                    <c:v>Road - Break bulk - Battery</c:v>
                  </c:pt>
                  <c:pt idx="50">
                    <c:v>Road - Neon bulk - Hydrogen</c:v>
                  </c:pt>
                  <c:pt idx="51">
                    <c:v>Road - Dry bulk - Diesel</c:v>
                  </c:pt>
                  <c:pt idx="52">
                    <c:v>Road - Break bulk - Hydrogen</c:v>
                  </c:pt>
                  <c:pt idx="53">
                    <c:v>Road - Dry bulk - Battery</c:v>
                  </c:pt>
                  <c:pt idx="54">
                    <c:v>Road - Dry bulk - Hydrogen</c:v>
                  </c:pt>
                  <c:pt idx="55">
                    <c:v>Sea - Neon bulk - Heavy fuel oil</c:v>
                  </c:pt>
                  <c:pt idx="56">
                    <c:v>Sea - Dry bulk - Heavy fuel oil</c:v>
                  </c:pt>
                  <c:pt idx="57">
                    <c:v>Rail - Dry bulk - Catenary</c:v>
                  </c:pt>
                  <c:pt idx="58">
                    <c:v>Sea - Neon bulk - Maritime gas oil</c:v>
                  </c:pt>
                  <c:pt idx="59">
                    <c:v>Sea - Dry bulk - Maritime gas oil</c:v>
                  </c:pt>
                  <c:pt idx="60">
                    <c:v>Sea - Container - Heavy fuel oil</c:v>
                  </c:pt>
                  <c:pt idx="61">
                    <c:v>Sea - Break bulk - Heavy fuel oil</c:v>
                  </c:pt>
                  <c:pt idx="62">
                    <c:v>Sea - Container - Maritime gas oil</c:v>
                  </c:pt>
                  <c:pt idx="63">
                    <c:v>Rail - Dry bulk - Battery</c:v>
                  </c:pt>
                  <c:pt idx="64">
                    <c:v>Sea - Break bulk - Maritime gas oil</c:v>
                  </c:pt>
                  <c:pt idx="65">
                    <c:v>Rail - Dry bulk - Diesel</c:v>
                  </c:pt>
                  <c:pt idx="66">
                    <c:v>Rail - Break bulk - Catenary</c:v>
                  </c:pt>
                  <c:pt idx="67">
                    <c:v>Rail - Container - Catenary</c:v>
                  </c:pt>
                  <c:pt idx="68">
                    <c:v>Rail - Dry bulk - Hydrogen</c:v>
                  </c:pt>
                  <c:pt idx="69">
                    <c:v>Rail - Neon bulk - Catenary</c:v>
                  </c:pt>
                  <c:pt idx="70">
                    <c:v>Sea - Neon bulk - Ammoina</c:v>
                  </c:pt>
                  <c:pt idx="71">
                    <c:v>Sea - Dry bulk - Ammonia</c:v>
                  </c:pt>
                  <c:pt idx="72">
                    <c:v>Rail - Liquid bulk - Catenary</c:v>
                  </c:pt>
                  <c:pt idx="73">
                    <c:v>Sea - Neon bulk - Hydrogen</c:v>
                  </c:pt>
                  <c:pt idx="74">
                    <c:v>Sea - Dry bulk - Hydrogen</c:v>
                  </c:pt>
                  <c:pt idx="75">
                    <c:v>Rail - Break bulk - Battery</c:v>
                  </c:pt>
                  <c:pt idx="76">
                    <c:v>Rail - Break bulk - Diesel</c:v>
                  </c:pt>
                  <c:pt idx="77">
                    <c:v>Rail - Break bulk - Hydrogen</c:v>
                  </c:pt>
                  <c:pt idx="78">
                    <c:v>Rail - Container - Battery</c:v>
                  </c:pt>
                  <c:pt idx="79">
                    <c:v>Sea - Container - Ammonia</c:v>
                  </c:pt>
                  <c:pt idx="80">
                    <c:v>Rail - Neon bulk - Battery</c:v>
                  </c:pt>
                  <c:pt idx="81">
                    <c:v>Sea - Container - Hydrogen</c:v>
                  </c:pt>
                  <c:pt idx="82">
                    <c:v>Rail - Container - Diesel</c:v>
                  </c:pt>
                  <c:pt idx="83">
                    <c:v>Rail - Liquid bulk - Battery</c:v>
                  </c:pt>
                  <c:pt idx="84">
                    <c:v>Sea - Break bulk - Ammonia</c:v>
                  </c:pt>
                  <c:pt idx="85">
                    <c:v>Rail - Neon bulk - Diesel</c:v>
                  </c:pt>
                  <c:pt idx="86">
                    <c:v>Rail - Liquid bulk - Diesel</c:v>
                  </c:pt>
                  <c:pt idx="87">
                    <c:v>Sea - Break bulk - Hydrogen</c:v>
                  </c:pt>
                  <c:pt idx="88">
                    <c:v>Rail - Container - Hydrogen</c:v>
                  </c:pt>
                  <c:pt idx="89">
                    <c:v>Rail - Neon bulk - Hydrogen</c:v>
                  </c:pt>
                  <c:pt idx="90">
                    <c:v>Sea - Neon bulk - Methanol</c:v>
                  </c:pt>
                  <c:pt idx="91">
                    <c:v>Sea - Dry bulk - Methanol</c:v>
                  </c:pt>
                  <c:pt idx="92">
                    <c:v>Rail - Liquid bulk - Hydrogen</c:v>
                  </c:pt>
                  <c:pt idx="93">
                    <c:v>Sea - Container - Methanol</c:v>
                  </c:pt>
                  <c:pt idx="94">
                    <c:v>Sea - Break bulk - Methanol</c:v>
                  </c:pt>
                  <c:pt idx="95">
                    <c:v>Road - Liquid bulk - Battery</c:v>
                  </c:pt>
                  <c:pt idx="96">
                    <c:v>Road - Liquid bulk - Diesel</c:v>
                  </c:pt>
                  <c:pt idx="97">
                    <c:v>Road - Container - Battery</c:v>
                  </c:pt>
                  <c:pt idx="98">
                    <c:v>Road - Container - Diesel</c:v>
                  </c:pt>
                  <c:pt idx="99">
                    <c:v>Road - Neon bulk - Diesel</c:v>
                  </c:pt>
                  <c:pt idx="100">
                    <c:v>Road - Neon bulk - Battery</c:v>
                  </c:pt>
                  <c:pt idx="101">
                    <c:v>Road - Liquid bulk - Hydrogen</c:v>
                  </c:pt>
                  <c:pt idx="102">
                    <c:v>Road - Container - Hydrogen</c:v>
                  </c:pt>
                  <c:pt idx="103">
                    <c:v>Road - Neon bulk - Hydrogen</c:v>
                  </c:pt>
                  <c:pt idx="104">
                    <c:v>Road - Break bulk - Diesel</c:v>
                  </c:pt>
                  <c:pt idx="105">
                    <c:v>Road - Break bulk - Battery</c:v>
                  </c:pt>
                  <c:pt idx="106">
                    <c:v>Road - Break bulk - Hydrogen</c:v>
                  </c:pt>
                  <c:pt idx="107">
                    <c:v>Road - Dry bulk - Diesel</c:v>
                  </c:pt>
                  <c:pt idx="108">
                    <c:v>Road - Dry bulk - Battery</c:v>
                  </c:pt>
                  <c:pt idx="109">
                    <c:v>Road - Dry bulk - Hydrogen</c:v>
                  </c:pt>
                  <c:pt idx="110">
                    <c:v>Sea - Neon bulk - Heavy fuel oil</c:v>
                  </c:pt>
                  <c:pt idx="111">
                    <c:v>Sea - Dry bulk - Heavy fuel oil</c:v>
                  </c:pt>
                  <c:pt idx="112">
                    <c:v>Sea - Neon bulk - Maritime gas oil</c:v>
                  </c:pt>
                  <c:pt idx="113">
                    <c:v>Sea - Dry bulk - Maritime gas oil</c:v>
                  </c:pt>
                  <c:pt idx="114">
                    <c:v>Sea - Neon bulk - Ammoina</c:v>
                  </c:pt>
                  <c:pt idx="115">
                    <c:v>Sea - Dry bulk - Ammonia</c:v>
                  </c:pt>
                  <c:pt idx="116">
                    <c:v>Rail - Dry bulk - Catenary</c:v>
                  </c:pt>
                  <c:pt idx="117">
                    <c:v>Sea - Neon bulk - Hydrogen</c:v>
                  </c:pt>
                  <c:pt idx="118">
                    <c:v>Sea - Dry bulk - Hydrogen</c:v>
                  </c:pt>
                  <c:pt idx="119">
                    <c:v>Rail - Dry bulk - Hydrogen</c:v>
                  </c:pt>
                  <c:pt idx="120">
                    <c:v>Sea - Container - Heavy fuel oil</c:v>
                  </c:pt>
                  <c:pt idx="121">
                    <c:v>Rail - Dry bulk - Battery</c:v>
                  </c:pt>
                  <c:pt idx="122">
                    <c:v>Sea - Break bulk - Heavy fuel oil</c:v>
                  </c:pt>
                  <c:pt idx="123">
                    <c:v>Sea - Container - Maritime gas oil</c:v>
                  </c:pt>
                  <c:pt idx="124">
                    <c:v>Sea - Break bulk - Maritime gas oil</c:v>
                  </c:pt>
                  <c:pt idx="125">
                    <c:v>Sea - Container - Ammonia</c:v>
                  </c:pt>
                  <c:pt idx="126">
                    <c:v>Sea - Container - Hydrogen</c:v>
                  </c:pt>
                  <c:pt idx="127">
                    <c:v>Sea - Neon bulk - Methanol</c:v>
                  </c:pt>
                  <c:pt idx="128">
                    <c:v>Sea - Dry bulk - Methanol</c:v>
                  </c:pt>
                  <c:pt idx="129">
                    <c:v>Sea - Break bulk - Ammonia</c:v>
                  </c:pt>
                  <c:pt idx="130">
                    <c:v>Sea - Break bulk - Hydrogen</c:v>
                  </c:pt>
                  <c:pt idx="131">
                    <c:v>Rail - Dry bulk - Diesel</c:v>
                  </c:pt>
                  <c:pt idx="132">
                    <c:v>Rail - Break bulk - Catenary</c:v>
                  </c:pt>
                  <c:pt idx="133">
                    <c:v>Rail - Container - Catenary</c:v>
                  </c:pt>
                  <c:pt idx="134">
                    <c:v>Rail - Break bulk - Hydrogen</c:v>
                  </c:pt>
                  <c:pt idx="135">
                    <c:v>Rail - Container - Hydrogen</c:v>
                  </c:pt>
                  <c:pt idx="136">
                    <c:v>Rail - Neon bulk - Catenary</c:v>
                  </c:pt>
                  <c:pt idx="137">
                    <c:v>Rail - Break bulk - Battery</c:v>
                  </c:pt>
                  <c:pt idx="138">
                    <c:v>Rail - Liquid bulk - Catenary</c:v>
                  </c:pt>
                  <c:pt idx="139">
                    <c:v>Rail - Neon bulk - Hydrogen</c:v>
                  </c:pt>
                  <c:pt idx="140">
                    <c:v>Rail - Container - Battery</c:v>
                  </c:pt>
                  <c:pt idx="141">
                    <c:v>Sea - Container - Methanol</c:v>
                  </c:pt>
                  <c:pt idx="142">
                    <c:v>Rail - Liquid bulk - Hydrogen</c:v>
                  </c:pt>
                  <c:pt idx="143">
                    <c:v>Rail - Neon bulk - Battery</c:v>
                  </c:pt>
                  <c:pt idx="144">
                    <c:v>Sea - Break bulk - Methanol</c:v>
                  </c:pt>
                  <c:pt idx="145">
                    <c:v>Rail - Liquid bulk - Battery</c:v>
                  </c:pt>
                  <c:pt idx="146">
                    <c:v>Rail - Break bulk - Diesel</c:v>
                  </c:pt>
                  <c:pt idx="147">
                    <c:v>Rail - Container - Diesel</c:v>
                  </c:pt>
                  <c:pt idx="148">
                    <c:v>Rail - Neon bulk - Diesel</c:v>
                  </c:pt>
                  <c:pt idx="149">
                    <c:v>Rail - Liquid bulk - Diesel</c:v>
                  </c:pt>
                  <c:pt idx="150">
                    <c:v>Road - Liquid bulk - Battery</c:v>
                  </c:pt>
                  <c:pt idx="151">
                    <c:v>Road - Container - Battery</c:v>
                  </c:pt>
                  <c:pt idx="152">
                    <c:v>Road - Liquid bulk - Diesel</c:v>
                  </c:pt>
                  <c:pt idx="153">
                    <c:v>Road - Liquid bulk - Hydrogen</c:v>
                  </c:pt>
                  <c:pt idx="154">
                    <c:v>Road - Container - Diesel</c:v>
                  </c:pt>
                  <c:pt idx="155">
                    <c:v>Road - Container - Hydrogen</c:v>
                  </c:pt>
                  <c:pt idx="156">
                    <c:v>Road - Neon bulk - Battery</c:v>
                  </c:pt>
                  <c:pt idx="157">
                    <c:v>Road - Neon bulk - Diesel</c:v>
                  </c:pt>
                  <c:pt idx="158">
                    <c:v>Road - Neon bulk - Hydrogen</c:v>
                  </c:pt>
                  <c:pt idx="159">
                    <c:v>Road - Break bulk - Battery</c:v>
                  </c:pt>
                  <c:pt idx="160">
                    <c:v>Road - Break bulk - Diesel</c:v>
                  </c:pt>
                  <c:pt idx="161">
                    <c:v>Road - Break bulk - Hydrogen</c:v>
                  </c:pt>
                  <c:pt idx="162">
                    <c:v>Road - Dry bulk - Battery</c:v>
                  </c:pt>
                  <c:pt idx="163">
                    <c:v>Road - Dry bulk - Diesel</c:v>
                  </c:pt>
                  <c:pt idx="164">
                    <c:v>Road - Dry bulk - Hydrogen</c:v>
                  </c:pt>
                </c:lvl>
                <c:lvl>
                  <c:pt idx="0">
                    <c:v>2023</c:v>
                  </c:pt>
                  <c:pt idx="55">
                    <c:v>2034</c:v>
                  </c:pt>
                  <c:pt idx="110">
                    <c:v>2050</c:v>
                  </c:pt>
                </c:lvl>
              </c:multiLvlStrCache>
            </c:multiLvlStrRef>
          </c:cat>
          <c:val>
            <c:numRef>
              <c:f>FIGURES!$L$398:$L$562</c:f>
              <c:numCache>
                <c:formatCode>General</c:formatCode>
                <c:ptCount val="165"/>
                <c:pt idx="0">
                  <c:v>0</c:v>
                </c:pt>
                <c:pt idx="1">
                  <c:v>0</c:v>
                </c:pt>
                <c:pt idx="2">
                  <c:v>0</c:v>
                </c:pt>
                <c:pt idx="3">
                  <c:v>0</c:v>
                </c:pt>
                <c:pt idx="4">
                  <c:v>0</c:v>
                </c:pt>
                <c:pt idx="5">
                  <c:v>0</c:v>
                </c:pt>
                <c:pt idx="6">
                  <c:v>0</c:v>
                </c:pt>
                <c:pt idx="7">
                  <c:v>0</c:v>
                </c:pt>
                <c:pt idx="8">
                  <c:v>0</c:v>
                </c:pt>
                <c:pt idx="9">
                  <c:v>0</c:v>
                </c:pt>
                <c:pt idx="10">
                  <c:v>0</c:v>
                </c:pt>
                <c:pt idx="11">
                  <c:v>3.9112072151960102E-4</c:v>
                </c:pt>
                <c:pt idx="12">
                  <c:v>0</c:v>
                </c:pt>
                <c:pt idx="13">
                  <c:v>0</c:v>
                </c:pt>
                <c:pt idx="14">
                  <c:v>0</c:v>
                </c:pt>
                <c:pt idx="15">
                  <c:v>0</c:v>
                </c:pt>
                <c:pt idx="16">
                  <c:v>1.1258298482098843E-3</c:v>
                </c:pt>
                <c:pt idx="17">
                  <c:v>1.1261333800757934E-3</c:v>
                </c:pt>
                <c:pt idx="18">
                  <c:v>5.475134085884438E-4</c:v>
                </c:pt>
                <c:pt idx="19">
                  <c:v>2.4411358052708367E-4</c:v>
                </c:pt>
                <c:pt idx="20">
                  <c:v>1.5741097487084171E-3</c:v>
                </c:pt>
                <c:pt idx="21">
                  <c:v>1.5744975214100603E-3</c:v>
                </c:pt>
                <c:pt idx="22">
                  <c:v>0</c:v>
                </c:pt>
                <c:pt idx="23">
                  <c:v>0</c:v>
                </c:pt>
                <c:pt idx="24">
                  <c:v>3.7301652928277071E-4</c:v>
                </c:pt>
                <c:pt idx="25">
                  <c:v>0</c:v>
                </c:pt>
                <c:pt idx="26">
                  <c:v>1.1602727202243267E-3</c:v>
                </c:pt>
                <c:pt idx="27">
                  <c:v>3.2141722925930691E-4</c:v>
                </c:pt>
                <c:pt idx="28">
                  <c:v>2.4536829250527796E-4</c:v>
                </c:pt>
                <c:pt idx="29">
                  <c:v>3.9358564504954688E-4</c:v>
                </c:pt>
                <c:pt idx="30">
                  <c:v>1.1258298482098843E-3</c:v>
                </c:pt>
                <c:pt idx="31">
                  <c:v>1.6181117367482459E-3</c:v>
                </c:pt>
                <c:pt idx="32">
                  <c:v>1.5741097487084171E-3</c:v>
                </c:pt>
                <c:pt idx="33">
                  <c:v>2.3516482375663186E-4</c:v>
                </c:pt>
                <c:pt idx="34">
                  <c:v>1.5411827403837008E-4</c:v>
                </c:pt>
                <c:pt idx="35">
                  <c:v>2.4533197242431436E-4</c:v>
                </c:pt>
                <c:pt idx="36">
                  <c:v>1.0692692116505108E-3</c:v>
                </c:pt>
                <c:pt idx="37">
                  <c:v>1.069414697415446E-3</c:v>
                </c:pt>
                <c:pt idx="38">
                  <c:v>1.0857780140016773E-3</c:v>
                </c:pt>
                <c:pt idx="39">
                  <c:v>1.0692692116505108E-3</c:v>
                </c:pt>
                <c:pt idx="40">
                  <c:v>0</c:v>
                </c:pt>
                <c:pt idx="41">
                  <c:v>0</c:v>
                </c:pt>
                <c:pt idx="42">
                  <c:v>0</c:v>
                </c:pt>
                <c:pt idx="43">
                  <c:v>6.9307542201166028E-3</c:v>
                </c:pt>
                <c:pt idx="44">
                  <c:v>6.999194841432535E-3</c:v>
                </c:pt>
                <c:pt idx="45">
                  <c:v>0</c:v>
                </c:pt>
                <c:pt idx="46">
                  <c:v>8.0410607865149808E-3</c:v>
                </c:pt>
                <c:pt idx="47">
                  <c:v>4.120270320078584E-3</c:v>
                </c:pt>
                <c:pt idx="48">
                  <c:v>4.1617098155080079E-3</c:v>
                </c:pt>
                <c:pt idx="49">
                  <c:v>9.1726765451899117E-3</c:v>
                </c:pt>
                <c:pt idx="50">
                  <c:v>4.6879200129761878E-3</c:v>
                </c:pt>
                <c:pt idx="51">
                  <c:v>0</c:v>
                </c:pt>
                <c:pt idx="52">
                  <c:v>5.2591536513130754E-3</c:v>
                </c:pt>
                <c:pt idx="53">
                  <c:v>1.2591276991613498E-2</c:v>
                </c:pt>
                <c:pt idx="54">
                  <c:v>6.9889694134614433E-3</c:v>
                </c:pt>
                <c:pt idx="55">
                  <c:v>0</c:v>
                </c:pt>
                <c:pt idx="56">
                  <c:v>0</c:v>
                </c:pt>
                <c:pt idx="57">
                  <c:v>0</c:v>
                </c:pt>
                <c:pt idx="58">
                  <c:v>0</c:v>
                </c:pt>
                <c:pt idx="59">
                  <c:v>0</c:v>
                </c:pt>
                <c:pt idx="60">
                  <c:v>0</c:v>
                </c:pt>
                <c:pt idx="61">
                  <c:v>0</c:v>
                </c:pt>
                <c:pt idx="62">
                  <c:v>0</c:v>
                </c:pt>
                <c:pt idx="63">
                  <c:v>2.8135253484664127E-4</c:v>
                </c:pt>
                <c:pt idx="64">
                  <c:v>0</c:v>
                </c:pt>
                <c:pt idx="65">
                  <c:v>0</c:v>
                </c:pt>
                <c:pt idx="66">
                  <c:v>0</c:v>
                </c:pt>
                <c:pt idx="67">
                  <c:v>0</c:v>
                </c:pt>
                <c:pt idx="68">
                  <c:v>2.0235268453223758E-4</c:v>
                </c:pt>
                <c:pt idx="69">
                  <c:v>0</c:v>
                </c:pt>
                <c:pt idx="70">
                  <c:v>1.0132956488383624E-3</c:v>
                </c:pt>
                <c:pt idx="71">
                  <c:v>1.013594876539816E-3</c:v>
                </c:pt>
                <c:pt idx="72">
                  <c:v>0</c:v>
                </c:pt>
                <c:pt idx="73">
                  <c:v>1.3207646748279091E-3</c:v>
                </c:pt>
                <c:pt idx="74">
                  <c:v>1.321143463447012E-3</c:v>
                </c:pt>
                <c:pt idx="75">
                  <c:v>4.0321262746037013E-4</c:v>
                </c:pt>
                <c:pt idx="76">
                  <c:v>0</c:v>
                </c:pt>
                <c:pt idx="77">
                  <c:v>2.7965633326445735E-4</c:v>
                </c:pt>
                <c:pt idx="78">
                  <c:v>2.6724587433695976E-4</c:v>
                </c:pt>
                <c:pt idx="79">
                  <c:v>1.047250111554987E-3</c:v>
                </c:pt>
                <c:pt idx="80">
                  <c:v>1.7660359967761052E-4</c:v>
                </c:pt>
                <c:pt idx="81">
                  <c:v>1.3637472061323753E-3</c:v>
                </c:pt>
                <c:pt idx="82">
                  <c:v>0</c:v>
                </c:pt>
                <c:pt idx="83">
                  <c:v>2.832731860949473E-4</c:v>
                </c:pt>
                <c:pt idx="84">
                  <c:v>1.0132956488383624E-3</c:v>
                </c:pt>
                <c:pt idx="85">
                  <c:v>0</c:v>
                </c:pt>
                <c:pt idx="86">
                  <c:v>0</c:v>
                </c:pt>
                <c:pt idx="87">
                  <c:v>1.3207646748279091E-3</c:v>
                </c:pt>
                <c:pt idx="88">
                  <c:v>1.9340392776178578E-4</c:v>
                </c:pt>
                <c:pt idx="89">
                  <c:v>1.2748813746194659E-4</c:v>
                </c:pt>
                <c:pt idx="90">
                  <c:v>7.1824052151820209E-4</c:v>
                </c:pt>
                <c:pt idx="91">
                  <c:v>7.1838600728313731E-4</c:v>
                </c:pt>
                <c:pt idx="92">
                  <c:v>2.0357107642946827E-4</c:v>
                </c:pt>
                <c:pt idx="93">
                  <c:v>7.3474932386936864E-4</c:v>
                </c:pt>
                <c:pt idx="94">
                  <c:v>7.1824052151820209E-4</c:v>
                </c:pt>
                <c:pt idx="95">
                  <c:v>4.4322605318457206E-3</c:v>
                </c:pt>
                <c:pt idx="96">
                  <c:v>0</c:v>
                </c:pt>
                <c:pt idx="97">
                  <c:v>4.4446685102991906E-3</c:v>
                </c:pt>
                <c:pt idx="98">
                  <c:v>0</c:v>
                </c:pt>
                <c:pt idx="99">
                  <c:v>0</c:v>
                </c:pt>
                <c:pt idx="100">
                  <c:v>5.096941546270925E-3</c:v>
                </c:pt>
                <c:pt idx="101">
                  <c:v>2.3979467103649316E-3</c:v>
                </c:pt>
                <c:pt idx="102">
                  <c:v>2.4091523343629379E-3</c:v>
                </c:pt>
                <c:pt idx="103">
                  <c:v>2.7242821804416978E-3</c:v>
                </c:pt>
                <c:pt idx="104">
                  <c:v>0</c:v>
                </c:pt>
                <c:pt idx="105">
                  <c:v>5.8067591936936253E-3</c:v>
                </c:pt>
                <c:pt idx="106">
                  <c:v>3.0669812360336196E-3</c:v>
                </c:pt>
                <c:pt idx="107">
                  <c:v>0</c:v>
                </c:pt>
                <c:pt idx="108">
                  <c:v>8.0688902521887235E-3</c:v>
                </c:pt>
                <c:pt idx="109">
                  <c:v>4.0965734019979272E-3</c:v>
                </c:pt>
                <c:pt idx="110">
                  <c:v>0</c:v>
                </c:pt>
                <c:pt idx="111">
                  <c:v>0</c:v>
                </c:pt>
                <c:pt idx="112">
                  <c:v>0</c:v>
                </c:pt>
                <c:pt idx="113">
                  <c:v>0</c:v>
                </c:pt>
                <c:pt idx="114">
                  <c:v>5.8274406276008061E-4</c:v>
                </c:pt>
                <c:pt idx="115">
                  <c:v>5.8300752996403703E-4</c:v>
                </c:pt>
                <c:pt idx="116">
                  <c:v>0</c:v>
                </c:pt>
                <c:pt idx="117">
                  <c:v>6.7168621727937711E-4</c:v>
                </c:pt>
                <c:pt idx="118">
                  <c:v>6.7199117700034606E-4</c:v>
                </c:pt>
                <c:pt idx="119">
                  <c:v>1.4517799559480606E-4</c:v>
                </c:pt>
                <c:pt idx="120">
                  <c:v>0</c:v>
                </c:pt>
                <c:pt idx="121">
                  <c:v>1.5284911904488337E-4</c:v>
                </c:pt>
                <c:pt idx="122">
                  <c:v>0</c:v>
                </c:pt>
                <c:pt idx="123">
                  <c:v>0</c:v>
                </c:pt>
                <c:pt idx="124">
                  <c:v>0</c:v>
                </c:pt>
                <c:pt idx="125">
                  <c:v>6.126406509114387E-4</c:v>
                </c:pt>
                <c:pt idx="126">
                  <c:v>7.062911132346382E-4</c:v>
                </c:pt>
                <c:pt idx="127">
                  <c:v>4.1963548045956083E-4</c:v>
                </c:pt>
                <c:pt idx="128">
                  <c:v>4.1978096622449605E-4</c:v>
                </c:pt>
                <c:pt idx="129">
                  <c:v>5.8274406276008061E-4</c:v>
                </c:pt>
                <c:pt idx="130">
                  <c:v>6.7168621727937711E-4</c:v>
                </c:pt>
                <c:pt idx="131">
                  <c:v>0</c:v>
                </c:pt>
                <c:pt idx="132">
                  <c:v>0</c:v>
                </c:pt>
                <c:pt idx="133">
                  <c:v>0</c:v>
                </c:pt>
                <c:pt idx="134">
                  <c:v>2.2248164432702583E-4</c:v>
                </c:pt>
                <c:pt idx="135">
                  <c:v>1.3622923882435339E-4</c:v>
                </c:pt>
                <c:pt idx="136">
                  <c:v>0</c:v>
                </c:pt>
                <c:pt idx="137">
                  <c:v>2.3032795284449147E-4</c:v>
                </c:pt>
                <c:pt idx="138">
                  <c:v>0</c:v>
                </c:pt>
                <c:pt idx="139">
                  <c:v>9.1028915530830777E-5</c:v>
                </c:pt>
                <c:pt idx="140">
                  <c:v>1.4388008265524624E-4</c:v>
                </c:pt>
                <c:pt idx="141">
                  <c:v>4.3614428281072912E-4</c:v>
                </c:pt>
                <c:pt idx="142">
                  <c:v>1.4639638749203675E-4</c:v>
                </c:pt>
                <c:pt idx="143">
                  <c:v>9.5916349994523524E-5</c:v>
                </c:pt>
                <c:pt idx="144">
                  <c:v>4.1963548045956083E-4</c:v>
                </c:pt>
                <c:pt idx="145">
                  <c:v>1.5407027205455864E-4</c:v>
                </c:pt>
                <c:pt idx="146">
                  <c:v>0</c:v>
                </c:pt>
                <c:pt idx="147">
                  <c:v>0</c:v>
                </c:pt>
                <c:pt idx="148">
                  <c:v>0</c:v>
                </c:pt>
                <c:pt idx="149">
                  <c:v>0</c:v>
                </c:pt>
                <c:pt idx="150">
                  <c:v>2.5587566886892052E-3</c:v>
                </c:pt>
                <c:pt idx="151">
                  <c:v>2.5593307853502487E-3</c:v>
                </c:pt>
                <c:pt idx="152">
                  <c:v>0</c:v>
                </c:pt>
                <c:pt idx="153">
                  <c:v>1.0925549573459828E-3</c:v>
                </c:pt>
                <c:pt idx="154">
                  <c:v>0</c:v>
                </c:pt>
                <c:pt idx="155">
                  <c:v>1.0942740570500167E-3</c:v>
                </c:pt>
                <c:pt idx="156">
                  <c:v>2.9397310941121982E-3</c:v>
                </c:pt>
                <c:pt idx="157">
                  <c:v>0</c:v>
                </c:pt>
                <c:pt idx="158">
                  <c:v>1.2474190256527851E-3</c:v>
                </c:pt>
                <c:pt idx="159">
                  <c:v>3.3539876446939537E-3</c:v>
                </c:pt>
                <c:pt idx="160">
                  <c:v>0</c:v>
                </c:pt>
                <c:pt idx="161">
                  <c:v>1.4141278777070332E-3</c:v>
                </c:pt>
                <c:pt idx="162">
                  <c:v>4.6393934903808803E-3</c:v>
                </c:pt>
                <c:pt idx="163">
                  <c:v>0</c:v>
                </c:pt>
                <c:pt idx="164">
                  <c:v>1.9127480557803583E-3</c:v>
                </c:pt>
              </c:numCache>
            </c:numRef>
          </c:val>
          <c:extLst>
            <c:ext xmlns:c16="http://schemas.microsoft.com/office/drawing/2014/chart" uri="{C3380CC4-5D6E-409C-BE32-E72D297353CC}">
              <c16:uniqueId val="{00000009-F45C-465E-A516-77C650081690}"/>
            </c:ext>
          </c:extLst>
        </c:ser>
        <c:ser>
          <c:idx val="10"/>
          <c:order val="10"/>
          <c:tx>
            <c:strRef>
              <c:f>FIGURES!$M$397</c:f>
              <c:strCache>
                <c:ptCount val="1"/>
                <c:pt idx="0">
                  <c:v>Emission Cost</c:v>
                </c:pt>
              </c:strCache>
            </c:strRef>
          </c:tx>
          <c:spPr>
            <a:solidFill>
              <a:schemeClr val="accent5">
                <a:lumMod val="60000"/>
              </a:schemeClr>
            </a:solidFill>
            <a:ln>
              <a:noFill/>
            </a:ln>
            <a:effectLst/>
          </c:spPr>
          <c:invertIfNegative val="0"/>
          <c:cat>
            <c:multiLvlStrRef>
              <c:f>FIGURES!$A$398:$B$562</c:f>
              <c:multiLvlStrCache>
                <c:ptCount val="165"/>
                <c:lvl>
                  <c:pt idx="0">
                    <c:v>Sea - Neon bulk - Heavy fuel oil</c:v>
                  </c:pt>
                  <c:pt idx="1">
                    <c:v>Sea - Dry bulk - Heavy fuel oil</c:v>
                  </c:pt>
                  <c:pt idx="2">
                    <c:v>Sea - Container - Heavy fuel oil</c:v>
                  </c:pt>
                  <c:pt idx="3">
                    <c:v>Sea - Break bulk - Heavy fuel oil</c:v>
                  </c:pt>
                  <c:pt idx="4">
                    <c:v>Rail - Dry bulk - Catenary</c:v>
                  </c:pt>
                  <c:pt idx="5">
                    <c:v>Sea - Neon bulk - Maritime gas oil</c:v>
                  </c:pt>
                  <c:pt idx="6">
                    <c:v>Sea - Dry bulk - Maritime gas oil</c:v>
                  </c:pt>
                  <c:pt idx="7">
                    <c:v>Sea - Container - Maritime gas oil</c:v>
                  </c:pt>
                  <c:pt idx="8">
                    <c:v>Sea - Break bulk - Maritime gas oil</c:v>
                  </c:pt>
                  <c:pt idx="9">
                    <c:v>Rail - Dry bulk - Diesel</c:v>
                  </c:pt>
                  <c:pt idx="10">
                    <c:v>Rail - Break bulk - Catenary</c:v>
                  </c:pt>
                  <c:pt idx="11">
                    <c:v>Rail - Dry bulk - Battery</c:v>
                  </c:pt>
                  <c:pt idx="12">
                    <c:v>Rail - Container - Catenary</c:v>
                  </c:pt>
                  <c:pt idx="13">
                    <c:v>Rail - Neon bulk - Catenary</c:v>
                  </c:pt>
                  <c:pt idx="14">
                    <c:v>Rail - Liquid bulk - Catenary</c:v>
                  </c:pt>
                  <c:pt idx="15">
                    <c:v>Rail - Break bulk - Diesel</c:v>
                  </c:pt>
                  <c:pt idx="16">
                    <c:v>Sea - Neon bulk - Ammoina</c:v>
                  </c:pt>
                  <c:pt idx="17">
                    <c:v>Sea - Dry bulk - Ammonia</c:v>
                  </c:pt>
                  <c:pt idx="18">
                    <c:v>Rail - Break bulk - Battery</c:v>
                  </c:pt>
                  <c:pt idx="19">
                    <c:v>Rail - Dry bulk - Hydrogen</c:v>
                  </c:pt>
                  <c:pt idx="20">
                    <c:v>Sea - Neon bulk - Hydrogen</c:v>
                  </c:pt>
                  <c:pt idx="21">
                    <c:v>Sea - Dry bulk - Hydrogen</c:v>
                  </c:pt>
                  <c:pt idx="22">
                    <c:v>Rail - Container - Diesel</c:v>
                  </c:pt>
                  <c:pt idx="23">
                    <c:v>Rail - Neon bulk - Diesel</c:v>
                  </c:pt>
                  <c:pt idx="24">
                    <c:v>Rail - Container - Battery</c:v>
                  </c:pt>
                  <c:pt idx="25">
                    <c:v>Rail - Liquid bulk - Diesel</c:v>
                  </c:pt>
                  <c:pt idx="26">
                    <c:v>Sea - Container - Ammonia</c:v>
                  </c:pt>
                  <c:pt idx="27">
                    <c:v>Rail - Break bulk - Hydrogen</c:v>
                  </c:pt>
                  <c:pt idx="28">
                    <c:v>Rail - Neon bulk - Battery</c:v>
                  </c:pt>
                  <c:pt idx="29">
                    <c:v>Rail - Liquid bulk - Battery</c:v>
                  </c:pt>
                  <c:pt idx="30">
                    <c:v>Sea - Break bulk - Ammonia</c:v>
                  </c:pt>
                  <c:pt idx="31">
                    <c:v>Sea - Container - Hydrogen</c:v>
                  </c:pt>
                  <c:pt idx="32">
                    <c:v>Sea - Break bulk - Hydrogen</c:v>
                  </c:pt>
                  <c:pt idx="33">
                    <c:v>Rail - Container - Hydrogen</c:v>
                  </c:pt>
                  <c:pt idx="34">
                    <c:v>Rail - Neon bulk - Hydrogen</c:v>
                  </c:pt>
                  <c:pt idx="35">
                    <c:v>Rail - Liquid bulk - Hydrogen</c:v>
                  </c:pt>
                  <c:pt idx="36">
                    <c:v>Sea - Neon bulk - Methanol</c:v>
                  </c:pt>
                  <c:pt idx="37">
                    <c:v>Sea - Dry bulk - Methanol</c:v>
                  </c:pt>
                  <c:pt idx="38">
                    <c:v>Sea - Container - Methanol</c:v>
                  </c:pt>
                  <c:pt idx="39">
                    <c:v>Sea - Break bulk - Methanol</c:v>
                  </c:pt>
                  <c:pt idx="40">
                    <c:v>Road - Liquid bulk - Diesel</c:v>
                  </c:pt>
                  <c:pt idx="41">
                    <c:v>Road - Container - Diesel</c:v>
                  </c:pt>
                  <c:pt idx="42">
                    <c:v>Road - Neon bulk - Diesel</c:v>
                  </c:pt>
                  <c:pt idx="43">
                    <c:v>Road - Liquid bulk - Battery</c:v>
                  </c:pt>
                  <c:pt idx="44">
                    <c:v>Road - Container - Battery</c:v>
                  </c:pt>
                  <c:pt idx="45">
                    <c:v>Road - Break bulk - Diesel</c:v>
                  </c:pt>
                  <c:pt idx="46">
                    <c:v>Road - Neon bulk - Battery</c:v>
                  </c:pt>
                  <c:pt idx="47">
                    <c:v>Road - Liquid bulk - Hydrogen</c:v>
                  </c:pt>
                  <c:pt idx="48">
                    <c:v>Road - Container - Hydrogen</c:v>
                  </c:pt>
                  <c:pt idx="49">
                    <c:v>Road - Break bulk - Battery</c:v>
                  </c:pt>
                  <c:pt idx="50">
                    <c:v>Road - Neon bulk - Hydrogen</c:v>
                  </c:pt>
                  <c:pt idx="51">
                    <c:v>Road - Dry bulk - Diesel</c:v>
                  </c:pt>
                  <c:pt idx="52">
                    <c:v>Road - Break bulk - Hydrogen</c:v>
                  </c:pt>
                  <c:pt idx="53">
                    <c:v>Road - Dry bulk - Battery</c:v>
                  </c:pt>
                  <c:pt idx="54">
                    <c:v>Road - Dry bulk - Hydrogen</c:v>
                  </c:pt>
                  <c:pt idx="55">
                    <c:v>Sea - Neon bulk - Heavy fuel oil</c:v>
                  </c:pt>
                  <c:pt idx="56">
                    <c:v>Sea - Dry bulk - Heavy fuel oil</c:v>
                  </c:pt>
                  <c:pt idx="57">
                    <c:v>Rail - Dry bulk - Catenary</c:v>
                  </c:pt>
                  <c:pt idx="58">
                    <c:v>Sea - Neon bulk - Maritime gas oil</c:v>
                  </c:pt>
                  <c:pt idx="59">
                    <c:v>Sea - Dry bulk - Maritime gas oil</c:v>
                  </c:pt>
                  <c:pt idx="60">
                    <c:v>Sea - Container - Heavy fuel oil</c:v>
                  </c:pt>
                  <c:pt idx="61">
                    <c:v>Sea - Break bulk - Heavy fuel oil</c:v>
                  </c:pt>
                  <c:pt idx="62">
                    <c:v>Sea - Container - Maritime gas oil</c:v>
                  </c:pt>
                  <c:pt idx="63">
                    <c:v>Rail - Dry bulk - Battery</c:v>
                  </c:pt>
                  <c:pt idx="64">
                    <c:v>Sea - Break bulk - Maritime gas oil</c:v>
                  </c:pt>
                  <c:pt idx="65">
                    <c:v>Rail - Dry bulk - Diesel</c:v>
                  </c:pt>
                  <c:pt idx="66">
                    <c:v>Rail - Break bulk - Catenary</c:v>
                  </c:pt>
                  <c:pt idx="67">
                    <c:v>Rail - Container - Catenary</c:v>
                  </c:pt>
                  <c:pt idx="68">
                    <c:v>Rail - Dry bulk - Hydrogen</c:v>
                  </c:pt>
                  <c:pt idx="69">
                    <c:v>Rail - Neon bulk - Catenary</c:v>
                  </c:pt>
                  <c:pt idx="70">
                    <c:v>Sea - Neon bulk - Ammoina</c:v>
                  </c:pt>
                  <c:pt idx="71">
                    <c:v>Sea - Dry bulk - Ammonia</c:v>
                  </c:pt>
                  <c:pt idx="72">
                    <c:v>Rail - Liquid bulk - Catenary</c:v>
                  </c:pt>
                  <c:pt idx="73">
                    <c:v>Sea - Neon bulk - Hydrogen</c:v>
                  </c:pt>
                  <c:pt idx="74">
                    <c:v>Sea - Dry bulk - Hydrogen</c:v>
                  </c:pt>
                  <c:pt idx="75">
                    <c:v>Rail - Break bulk - Battery</c:v>
                  </c:pt>
                  <c:pt idx="76">
                    <c:v>Rail - Break bulk - Diesel</c:v>
                  </c:pt>
                  <c:pt idx="77">
                    <c:v>Rail - Break bulk - Hydrogen</c:v>
                  </c:pt>
                  <c:pt idx="78">
                    <c:v>Rail - Container - Battery</c:v>
                  </c:pt>
                  <c:pt idx="79">
                    <c:v>Sea - Container - Ammonia</c:v>
                  </c:pt>
                  <c:pt idx="80">
                    <c:v>Rail - Neon bulk - Battery</c:v>
                  </c:pt>
                  <c:pt idx="81">
                    <c:v>Sea - Container - Hydrogen</c:v>
                  </c:pt>
                  <c:pt idx="82">
                    <c:v>Rail - Container - Diesel</c:v>
                  </c:pt>
                  <c:pt idx="83">
                    <c:v>Rail - Liquid bulk - Battery</c:v>
                  </c:pt>
                  <c:pt idx="84">
                    <c:v>Sea - Break bulk - Ammonia</c:v>
                  </c:pt>
                  <c:pt idx="85">
                    <c:v>Rail - Neon bulk - Diesel</c:v>
                  </c:pt>
                  <c:pt idx="86">
                    <c:v>Rail - Liquid bulk - Diesel</c:v>
                  </c:pt>
                  <c:pt idx="87">
                    <c:v>Sea - Break bulk - Hydrogen</c:v>
                  </c:pt>
                  <c:pt idx="88">
                    <c:v>Rail - Container - Hydrogen</c:v>
                  </c:pt>
                  <c:pt idx="89">
                    <c:v>Rail - Neon bulk - Hydrogen</c:v>
                  </c:pt>
                  <c:pt idx="90">
                    <c:v>Sea - Neon bulk - Methanol</c:v>
                  </c:pt>
                  <c:pt idx="91">
                    <c:v>Sea - Dry bulk - Methanol</c:v>
                  </c:pt>
                  <c:pt idx="92">
                    <c:v>Rail - Liquid bulk - Hydrogen</c:v>
                  </c:pt>
                  <c:pt idx="93">
                    <c:v>Sea - Container - Methanol</c:v>
                  </c:pt>
                  <c:pt idx="94">
                    <c:v>Sea - Break bulk - Methanol</c:v>
                  </c:pt>
                  <c:pt idx="95">
                    <c:v>Road - Liquid bulk - Battery</c:v>
                  </c:pt>
                  <c:pt idx="96">
                    <c:v>Road - Liquid bulk - Diesel</c:v>
                  </c:pt>
                  <c:pt idx="97">
                    <c:v>Road - Container - Battery</c:v>
                  </c:pt>
                  <c:pt idx="98">
                    <c:v>Road - Container - Diesel</c:v>
                  </c:pt>
                  <c:pt idx="99">
                    <c:v>Road - Neon bulk - Diesel</c:v>
                  </c:pt>
                  <c:pt idx="100">
                    <c:v>Road - Neon bulk - Battery</c:v>
                  </c:pt>
                  <c:pt idx="101">
                    <c:v>Road - Liquid bulk - Hydrogen</c:v>
                  </c:pt>
                  <c:pt idx="102">
                    <c:v>Road - Container - Hydrogen</c:v>
                  </c:pt>
                  <c:pt idx="103">
                    <c:v>Road - Neon bulk - Hydrogen</c:v>
                  </c:pt>
                  <c:pt idx="104">
                    <c:v>Road - Break bulk - Diesel</c:v>
                  </c:pt>
                  <c:pt idx="105">
                    <c:v>Road - Break bulk - Battery</c:v>
                  </c:pt>
                  <c:pt idx="106">
                    <c:v>Road - Break bulk - Hydrogen</c:v>
                  </c:pt>
                  <c:pt idx="107">
                    <c:v>Road - Dry bulk - Diesel</c:v>
                  </c:pt>
                  <c:pt idx="108">
                    <c:v>Road - Dry bulk - Battery</c:v>
                  </c:pt>
                  <c:pt idx="109">
                    <c:v>Road - Dry bulk - Hydrogen</c:v>
                  </c:pt>
                  <c:pt idx="110">
                    <c:v>Sea - Neon bulk - Heavy fuel oil</c:v>
                  </c:pt>
                  <c:pt idx="111">
                    <c:v>Sea - Dry bulk - Heavy fuel oil</c:v>
                  </c:pt>
                  <c:pt idx="112">
                    <c:v>Sea - Neon bulk - Maritime gas oil</c:v>
                  </c:pt>
                  <c:pt idx="113">
                    <c:v>Sea - Dry bulk - Maritime gas oil</c:v>
                  </c:pt>
                  <c:pt idx="114">
                    <c:v>Sea - Neon bulk - Ammoina</c:v>
                  </c:pt>
                  <c:pt idx="115">
                    <c:v>Sea - Dry bulk - Ammonia</c:v>
                  </c:pt>
                  <c:pt idx="116">
                    <c:v>Rail - Dry bulk - Catenary</c:v>
                  </c:pt>
                  <c:pt idx="117">
                    <c:v>Sea - Neon bulk - Hydrogen</c:v>
                  </c:pt>
                  <c:pt idx="118">
                    <c:v>Sea - Dry bulk - Hydrogen</c:v>
                  </c:pt>
                  <c:pt idx="119">
                    <c:v>Rail - Dry bulk - Hydrogen</c:v>
                  </c:pt>
                  <c:pt idx="120">
                    <c:v>Sea - Container - Heavy fuel oil</c:v>
                  </c:pt>
                  <c:pt idx="121">
                    <c:v>Rail - Dry bulk - Battery</c:v>
                  </c:pt>
                  <c:pt idx="122">
                    <c:v>Sea - Break bulk - Heavy fuel oil</c:v>
                  </c:pt>
                  <c:pt idx="123">
                    <c:v>Sea - Container - Maritime gas oil</c:v>
                  </c:pt>
                  <c:pt idx="124">
                    <c:v>Sea - Break bulk - Maritime gas oil</c:v>
                  </c:pt>
                  <c:pt idx="125">
                    <c:v>Sea - Container - Ammonia</c:v>
                  </c:pt>
                  <c:pt idx="126">
                    <c:v>Sea - Container - Hydrogen</c:v>
                  </c:pt>
                  <c:pt idx="127">
                    <c:v>Sea - Neon bulk - Methanol</c:v>
                  </c:pt>
                  <c:pt idx="128">
                    <c:v>Sea - Dry bulk - Methanol</c:v>
                  </c:pt>
                  <c:pt idx="129">
                    <c:v>Sea - Break bulk - Ammonia</c:v>
                  </c:pt>
                  <c:pt idx="130">
                    <c:v>Sea - Break bulk - Hydrogen</c:v>
                  </c:pt>
                  <c:pt idx="131">
                    <c:v>Rail - Dry bulk - Diesel</c:v>
                  </c:pt>
                  <c:pt idx="132">
                    <c:v>Rail - Break bulk - Catenary</c:v>
                  </c:pt>
                  <c:pt idx="133">
                    <c:v>Rail - Container - Catenary</c:v>
                  </c:pt>
                  <c:pt idx="134">
                    <c:v>Rail - Break bulk - Hydrogen</c:v>
                  </c:pt>
                  <c:pt idx="135">
                    <c:v>Rail - Container - Hydrogen</c:v>
                  </c:pt>
                  <c:pt idx="136">
                    <c:v>Rail - Neon bulk - Catenary</c:v>
                  </c:pt>
                  <c:pt idx="137">
                    <c:v>Rail - Break bulk - Battery</c:v>
                  </c:pt>
                  <c:pt idx="138">
                    <c:v>Rail - Liquid bulk - Catenary</c:v>
                  </c:pt>
                  <c:pt idx="139">
                    <c:v>Rail - Neon bulk - Hydrogen</c:v>
                  </c:pt>
                  <c:pt idx="140">
                    <c:v>Rail - Container - Battery</c:v>
                  </c:pt>
                  <c:pt idx="141">
                    <c:v>Sea - Container - Methanol</c:v>
                  </c:pt>
                  <c:pt idx="142">
                    <c:v>Rail - Liquid bulk - Hydrogen</c:v>
                  </c:pt>
                  <c:pt idx="143">
                    <c:v>Rail - Neon bulk - Battery</c:v>
                  </c:pt>
                  <c:pt idx="144">
                    <c:v>Sea - Break bulk - Methanol</c:v>
                  </c:pt>
                  <c:pt idx="145">
                    <c:v>Rail - Liquid bulk - Battery</c:v>
                  </c:pt>
                  <c:pt idx="146">
                    <c:v>Rail - Break bulk - Diesel</c:v>
                  </c:pt>
                  <c:pt idx="147">
                    <c:v>Rail - Container - Diesel</c:v>
                  </c:pt>
                  <c:pt idx="148">
                    <c:v>Rail - Neon bulk - Diesel</c:v>
                  </c:pt>
                  <c:pt idx="149">
                    <c:v>Rail - Liquid bulk - Diesel</c:v>
                  </c:pt>
                  <c:pt idx="150">
                    <c:v>Road - Liquid bulk - Battery</c:v>
                  </c:pt>
                  <c:pt idx="151">
                    <c:v>Road - Container - Battery</c:v>
                  </c:pt>
                  <c:pt idx="152">
                    <c:v>Road - Liquid bulk - Diesel</c:v>
                  </c:pt>
                  <c:pt idx="153">
                    <c:v>Road - Liquid bulk - Hydrogen</c:v>
                  </c:pt>
                  <c:pt idx="154">
                    <c:v>Road - Container - Diesel</c:v>
                  </c:pt>
                  <c:pt idx="155">
                    <c:v>Road - Container - Hydrogen</c:v>
                  </c:pt>
                  <c:pt idx="156">
                    <c:v>Road - Neon bulk - Battery</c:v>
                  </c:pt>
                  <c:pt idx="157">
                    <c:v>Road - Neon bulk - Diesel</c:v>
                  </c:pt>
                  <c:pt idx="158">
                    <c:v>Road - Neon bulk - Hydrogen</c:v>
                  </c:pt>
                  <c:pt idx="159">
                    <c:v>Road - Break bulk - Battery</c:v>
                  </c:pt>
                  <c:pt idx="160">
                    <c:v>Road - Break bulk - Diesel</c:v>
                  </c:pt>
                  <c:pt idx="161">
                    <c:v>Road - Break bulk - Hydrogen</c:v>
                  </c:pt>
                  <c:pt idx="162">
                    <c:v>Road - Dry bulk - Battery</c:v>
                  </c:pt>
                  <c:pt idx="163">
                    <c:v>Road - Dry bulk - Diesel</c:v>
                  </c:pt>
                  <c:pt idx="164">
                    <c:v>Road - Dry bulk - Hydrogen</c:v>
                  </c:pt>
                </c:lvl>
                <c:lvl>
                  <c:pt idx="0">
                    <c:v>2023</c:v>
                  </c:pt>
                  <c:pt idx="55">
                    <c:v>2034</c:v>
                  </c:pt>
                  <c:pt idx="110">
                    <c:v>2050</c:v>
                  </c:pt>
                </c:lvl>
              </c:multiLvlStrCache>
            </c:multiLvlStrRef>
          </c:cat>
          <c:val>
            <c:numRef>
              <c:f>FIGURES!$M$398:$M$562</c:f>
              <c:numCache>
                <c:formatCode>General</c:formatCode>
                <c:ptCount val="165"/>
                <c:pt idx="0">
                  <c:v>1.829443359540834E-3</c:v>
                </c:pt>
                <c:pt idx="1">
                  <c:v>1.829443359540834E-3</c:v>
                </c:pt>
                <c:pt idx="2">
                  <c:v>1.829443359540834E-3</c:v>
                </c:pt>
                <c:pt idx="3">
                  <c:v>1.829443359540834E-3</c:v>
                </c:pt>
                <c:pt idx="4">
                  <c:v>3.070434634345955E-5</c:v>
                </c:pt>
                <c:pt idx="5">
                  <c:v>1.7360815489011045E-3</c:v>
                </c:pt>
                <c:pt idx="6">
                  <c:v>1.7360815489011045E-3</c:v>
                </c:pt>
                <c:pt idx="7">
                  <c:v>1.7360815489011045E-3</c:v>
                </c:pt>
                <c:pt idx="8">
                  <c:v>1.7360815489011045E-3</c:v>
                </c:pt>
                <c:pt idx="9">
                  <c:v>8.6996317577796474E-4</c:v>
                </c:pt>
                <c:pt idx="10">
                  <c:v>3.070434634345955E-5</c:v>
                </c:pt>
                <c:pt idx="11">
                  <c:v>3.2623367989925765E-5</c:v>
                </c:pt>
                <c:pt idx="12">
                  <c:v>3.070434634345955E-5</c:v>
                </c:pt>
                <c:pt idx="13">
                  <c:v>2.4563477074767639E-5</c:v>
                </c:pt>
                <c:pt idx="14">
                  <c:v>3.070434634345955E-5</c:v>
                </c:pt>
                <c:pt idx="15">
                  <c:v>8.6996317577796474E-4</c:v>
                </c:pt>
                <c:pt idx="16">
                  <c:v>2.4772393588019895E-4</c:v>
                </c:pt>
                <c:pt idx="17">
                  <c:v>2.4772393588019895E-4</c:v>
                </c:pt>
                <c:pt idx="18">
                  <c:v>3.2623367989925765E-5</c:v>
                </c:pt>
                <c:pt idx="19">
                  <c:v>7.390092301741751E-5</c:v>
                </c:pt>
                <c:pt idx="20">
                  <c:v>2.4304989935415751E-4</c:v>
                </c:pt>
                <c:pt idx="21">
                  <c:v>2.4304989935415751E-4</c:v>
                </c:pt>
                <c:pt idx="22">
                  <c:v>8.6996317577796474E-4</c:v>
                </c:pt>
                <c:pt idx="23">
                  <c:v>6.959705406223717E-4</c:v>
                </c:pt>
                <c:pt idx="24">
                  <c:v>3.2623367989925765E-5</c:v>
                </c:pt>
                <c:pt idx="25">
                  <c:v>8.6996317577796474E-4</c:v>
                </c:pt>
                <c:pt idx="26">
                  <c:v>2.4772393588019895E-4</c:v>
                </c:pt>
                <c:pt idx="27">
                  <c:v>7.390092301741751E-5</c:v>
                </c:pt>
                <c:pt idx="28">
                  <c:v>2.6098694391940615E-5</c:v>
                </c:pt>
                <c:pt idx="29">
                  <c:v>3.2623367989925765E-5</c:v>
                </c:pt>
                <c:pt idx="30">
                  <c:v>2.4772393588019895E-4</c:v>
                </c:pt>
                <c:pt idx="31">
                  <c:v>2.4304989935415751E-4</c:v>
                </c:pt>
                <c:pt idx="32">
                  <c:v>2.4304989935415751E-4</c:v>
                </c:pt>
                <c:pt idx="33">
                  <c:v>7.390092301741751E-5</c:v>
                </c:pt>
                <c:pt idx="34">
                  <c:v>5.9120738413934012E-5</c:v>
                </c:pt>
                <c:pt idx="35">
                  <c:v>7.390092301741751E-5</c:v>
                </c:pt>
                <c:pt idx="36">
                  <c:v>3.1444724009633705E-4</c:v>
                </c:pt>
                <c:pt idx="37">
                  <c:v>3.1444724009633705E-4</c:v>
                </c:pt>
                <c:pt idx="38">
                  <c:v>3.1444724009633705E-4</c:v>
                </c:pt>
                <c:pt idx="39">
                  <c:v>3.1444724009633705E-4</c:v>
                </c:pt>
                <c:pt idx="40">
                  <c:v>2.9375323900042061E-3</c:v>
                </c:pt>
                <c:pt idx="41">
                  <c:v>2.9375323900042061E-3</c:v>
                </c:pt>
                <c:pt idx="42">
                  <c:v>2.9375323900042061E-3</c:v>
                </c:pt>
                <c:pt idx="43">
                  <c:v>1.3227196424206973E-4</c:v>
                </c:pt>
                <c:pt idx="44">
                  <c:v>1.3227196424206973E-4</c:v>
                </c:pt>
                <c:pt idx="45">
                  <c:v>2.9375323900042061E-3</c:v>
                </c:pt>
                <c:pt idx="46">
                  <c:v>1.3227196424206976E-4</c:v>
                </c:pt>
                <c:pt idx="47">
                  <c:v>3.4287712042257822E-4</c:v>
                </c:pt>
                <c:pt idx="48">
                  <c:v>3.4287712042257822E-4</c:v>
                </c:pt>
                <c:pt idx="49">
                  <c:v>1.3227196424206973E-4</c:v>
                </c:pt>
                <c:pt idx="50">
                  <c:v>3.4287712042257822E-4</c:v>
                </c:pt>
                <c:pt idx="51">
                  <c:v>2.9375323900042061E-3</c:v>
                </c:pt>
                <c:pt idx="52">
                  <c:v>3.4287712042257822E-4</c:v>
                </c:pt>
                <c:pt idx="53">
                  <c:v>1.3227196424206973E-4</c:v>
                </c:pt>
                <c:pt idx="54">
                  <c:v>3.4287712042257822E-4</c:v>
                </c:pt>
                <c:pt idx="55">
                  <c:v>4.1524661257787056E-3</c:v>
                </c:pt>
                <c:pt idx="56">
                  <c:v>4.1524661257787056E-3</c:v>
                </c:pt>
                <c:pt idx="57">
                  <c:v>4.0839236749387171E-5</c:v>
                </c:pt>
                <c:pt idx="58">
                  <c:v>3.9405537131308793E-3</c:v>
                </c:pt>
                <c:pt idx="59">
                  <c:v>3.9405537131308793E-3</c:v>
                </c:pt>
                <c:pt idx="60">
                  <c:v>4.1524661257787056E-3</c:v>
                </c:pt>
                <c:pt idx="61">
                  <c:v>4.1524661257787056E-3</c:v>
                </c:pt>
                <c:pt idx="62">
                  <c:v>3.9405537131308793E-3</c:v>
                </c:pt>
                <c:pt idx="63">
                  <c:v>4.3391689046223865E-5</c:v>
                </c:pt>
                <c:pt idx="64">
                  <c:v>3.9405537131308793E-3</c:v>
                </c:pt>
                <c:pt idx="65">
                  <c:v>2.0378339096479639E-3</c:v>
                </c:pt>
                <c:pt idx="66">
                  <c:v>4.0839236749387171E-5</c:v>
                </c:pt>
                <c:pt idx="67">
                  <c:v>4.0839236749387171E-5</c:v>
                </c:pt>
                <c:pt idx="68">
                  <c:v>9.8294139121103233E-5</c:v>
                </c:pt>
                <c:pt idx="69">
                  <c:v>3.2671389399509734E-5</c:v>
                </c:pt>
                <c:pt idx="70">
                  <c:v>3.29492650738565E-4</c:v>
                </c:pt>
                <c:pt idx="71">
                  <c:v>3.29492650738565E-4</c:v>
                </c:pt>
                <c:pt idx="72">
                  <c:v>4.0839236749387171E-5</c:v>
                </c:pt>
                <c:pt idx="73">
                  <c:v>3.2327580827179973E-4</c:v>
                </c:pt>
                <c:pt idx="74">
                  <c:v>3.2327580827179973E-4</c:v>
                </c:pt>
                <c:pt idx="75">
                  <c:v>4.3391689046223865E-5</c:v>
                </c:pt>
                <c:pt idx="76">
                  <c:v>2.0378339096479639E-3</c:v>
                </c:pt>
                <c:pt idx="77">
                  <c:v>9.8294139121103233E-5</c:v>
                </c:pt>
                <c:pt idx="78">
                  <c:v>4.3391689046223865E-5</c:v>
                </c:pt>
                <c:pt idx="79">
                  <c:v>3.29492650738565E-4</c:v>
                </c:pt>
                <c:pt idx="80">
                  <c:v>3.4713351236979088E-5</c:v>
                </c:pt>
                <c:pt idx="81">
                  <c:v>3.2327580827179973E-4</c:v>
                </c:pt>
                <c:pt idx="82">
                  <c:v>2.0378339096479639E-3</c:v>
                </c:pt>
                <c:pt idx="83">
                  <c:v>4.3391689046223865E-5</c:v>
                </c:pt>
                <c:pt idx="84">
                  <c:v>3.29492650738565E-4</c:v>
                </c:pt>
                <c:pt idx="85">
                  <c:v>1.6302671277183709E-3</c:v>
                </c:pt>
                <c:pt idx="86">
                  <c:v>2.0378339096479639E-3</c:v>
                </c:pt>
                <c:pt idx="87">
                  <c:v>3.2327580827179973E-4</c:v>
                </c:pt>
                <c:pt idx="88">
                  <c:v>9.8294139121103233E-5</c:v>
                </c:pt>
                <c:pt idx="89">
                  <c:v>7.8635311296882581E-5</c:v>
                </c:pt>
                <c:pt idx="90">
                  <c:v>4.1823998269942579E-4</c:v>
                </c:pt>
                <c:pt idx="91">
                  <c:v>4.1823998269942579E-4</c:v>
                </c:pt>
                <c:pt idx="92">
                  <c:v>9.8294139121103233E-5</c:v>
                </c:pt>
                <c:pt idx="93">
                  <c:v>4.1823998269942579E-4</c:v>
                </c:pt>
                <c:pt idx="94">
                  <c:v>4.1823998269942579E-4</c:v>
                </c:pt>
                <c:pt idx="95">
                  <c:v>1.7593229318620677E-4</c:v>
                </c:pt>
                <c:pt idx="96">
                  <c:v>6.3738697451547754E-3</c:v>
                </c:pt>
                <c:pt idx="97">
                  <c:v>1.7593229318620677E-4</c:v>
                </c:pt>
                <c:pt idx="98">
                  <c:v>6.3738697451547754E-3</c:v>
                </c:pt>
                <c:pt idx="99">
                  <c:v>6.3738697451547754E-3</c:v>
                </c:pt>
                <c:pt idx="100">
                  <c:v>1.7593229318620677E-4</c:v>
                </c:pt>
                <c:pt idx="101">
                  <c:v>4.5605399770604809E-4</c:v>
                </c:pt>
                <c:pt idx="102">
                  <c:v>4.5605399770604809E-4</c:v>
                </c:pt>
                <c:pt idx="103">
                  <c:v>4.5605399770604809E-4</c:v>
                </c:pt>
                <c:pt idx="104">
                  <c:v>6.3738697451547754E-3</c:v>
                </c:pt>
                <c:pt idx="105">
                  <c:v>1.7593229318620677E-4</c:v>
                </c:pt>
                <c:pt idx="106">
                  <c:v>4.5605399770604809E-4</c:v>
                </c:pt>
                <c:pt idx="107">
                  <c:v>6.3738697451547754E-3</c:v>
                </c:pt>
                <c:pt idx="108">
                  <c:v>1.7593229318620677E-4</c:v>
                </c:pt>
                <c:pt idx="109">
                  <c:v>4.5605399770604809E-4</c:v>
                </c:pt>
                <c:pt idx="110">
                  <c:v>3.9785632626608411E-3</c:v>
                </c:pt>
                <c:pt idx="111">
                  <c:v>3.9785632626608411E-3</c:v>
                </c:pt>
                <c:pt idx="112">
                  <c:v>3.7755256184454147E-3</c:v>
                </c:pt>
                <c:pt idx="113">
                  <c:v>3.7755256184454147E-3</c:v>
                </c:pt>
                <c:pt idx="114">
                  <c:v>1.3087655835441336E-6</c:v>
                </c:pt>
                <c:pt idx="115">
                  <c:v>1.3087655835441336E-6</c:v>
                </c:pt>
                <c:pt idx="116">
                  <c:v>1.6221602331949914E-7</c:v>
                </c:pt>
                <c:pt idx="117">
                  <c:v>1.2840718932885571E-6</c:v>
                </c:pt>
                <c:pt idx="118">
                  <c:v>1.2840718932885571E-6</c:v>
                </c:pt>
                <c:pt idx="119">
                  <c:v>3.9043051812366417E-7</c:v>
                </c:pt>
                <c:pt idx="120">
                  <c:v>3.9785632626608411E-3</c:v>
                </c:pt>
                <c:pt idx="121">
                  <c:v>1.7235452477696371E-7</c:v>
                </c:pt>
                <c:pt idx="122">
                  <c:v>3.9785632626608411E-3</c:v>
                </c:pt>
                <c:pt idx="123">
                  <c:v>3.7755256184454147E-3</c:v>
                </c:pt>
                <c:pt idx="124">
                  <c:v>3.7755256184454147E-3</c:v>
                </c:pt>
                <c:pt idx="125">
                  <c:v>1.3087655835441336E-6</c:v>
                </c:pt>
                <c:pt idx="126">
                  <c:v>1.2840718932885571E-6</c:v>
                </c:pt>
                <c:pt idx="127">
                  <c:v>1.6612755816924542E-6</c:v>
                </c:pt>
                <c:pt idx="128">
                  <c:v>1.6612755816924542E-6</c:v>
                </c:pt>
                <c:pt idx="129">
                  <c:v>1.3087655835441336E-6</c:v>
                </c:pt>
                <c:pt idx="130">
                  <c:v>1.2840718932885571E-6</c:v>
                </c:pt>
                <c:pt idx="131">
                  <c:v>2.0378339096479639E-3</c:v>
                </c:pt>
                <c:pt idx="132">
                  <c:v>1.6221602331949914E-7</c:v>
                </c:pt>
                <c:pt idx="133">
                  <c:v>1.6221602331949914E-7</c:v>
                </c:pt>
                <c:pt idx="134">
                  <c:v>3.9043051812366417E-7</c:v>
                </c:pt>
                <c:pt idx="135">
                  <c:v>3.9043051812366417E-7</c:v>
                </c:pt>
                <c:pt idx="136">
                  <c:v>1.2977281865559933E-7</c:v>
                </c:pt>
                <c:pt idx="137">
                  <c:v>1.7235452477696371E-7</c:v>
                </c:pt>
                <c:pt idx="138">
                  <c:v>1.6221602331949914E-7</c:v>
                </c:pt>
                <c:pt idx="139">
                  <c:v>3.1234441449893134E-7</c:v>
                </c:pt>
                <c:pt idx="140">
                  <c:v>1.7235452477696371E-7</c:v>
                </c:pt>
                <c:pt idx="141">
                  <c:v>1.6612755816924542E-6</c:v>
                </c:pt>
                <c:pt idx="142">
                  <c:v>3.9043051812366417E-7</c:v>
                </c:pt>
                <c:pt idx="143">
                  <c:v>1.3788361982157096E-7</c:v>
                </c:pt>
                <c:pt idx="144">
                  <c:v>1.6612755816924542E-6</c:v>
                </c:pt>
                <c:pt idx="145">
                  <c:v>1.7235452477696371E-7</c:v>
                </c:pt>
                <c:pt idx="146">
                  <c:v>2.0378339096479639E-3</c:v>
                </c:pt>
                <c:pt idx="147">
                  <c:v>2.0378339096479639E-3</c:v>
                </c:pt>
                <c:pt idx="148">
                  <c:v>1.6302671277183709E-3</c:v>
                </c:pt>
                <c:pt idx="149">
                  <c:v>2.0378339096479639E-3</c:v>
                </c:pt>
                <c:pt idx="150">
                  <c:v>6.9881416122631238E-7</c:v>
                </c:pt>
                <c:pt idx="151">
                  <c:v>6.9881416122631238E-7</c:v>
                </c:pt>
                <c:pt idx="152">
                  <c:v>5.7102461303557804E-3</c:v>
                </c:pt>
                <c:pt idx="153">
                  <c:v>1.8114752335067751E-6</c:v>
                </c:pt>
                <c:pt idx="154">
                  <c:v>5.7102461303557804E-3</c:v>
                </c:pt>
                <c:pt idx="155">
                  <c:v>1.8114752335067749E-6</c:v>
                </c:pt>
                <c:pt idx="156">
                  <c:v>6.9881416122631238E-7</c:v>
                </c:pt>
                <c:pt idx="157">
                  <c:v>5.7102461303557804E-3</c:v>
                </c:pt>
                <c:pt idx="158">
                  <c:v>1.8114752335067751E-6</c:v>
                </c:pt>
                <c:pt idx="159">
                  <c:v>6.9881416122631238E-7</c:v>
                </c:pt>
                <c:pt idx="160">
                  <c:v>5.7102461303557804E-3</c:v>
                </c:pt>
                <c:pt idx="161">
                  <c:v>1.8114752335067751E-6</c:v>
                </c:pt>
                <c:pt idx="162">
                  <c:v>6.9881416122631238E-7</c:v>
                </c:pt>
                <c:pt idx="163">
                  <c:v>5.7102461303557804E-3</c:v>
                </c:pt>
                <c:pt idx="164">
                  <c:v>1.8114752335067751E-6</c:v>
                </c:pt>
              </c:numCache>
            </c:numRef>
          </c:val>
          <c:extLst>
            <c:ext xmlns:c16="http://schemas.microsoft.com/office/drawing/2014/chart" uri="{C3380CC4-5D6E-409C-BE32-E72D297353CC}">
              <c16:uniqueId val="{0000000A-F45C-465E-A516-77C650081690}"/>
            </c:ext>
          </c:extLst>
        </c:ser>
        <c:dLbls>
          <c:showLegendKey val="0"/>
          <c:showVal val="0"/>
          <c:showCatName val="0"/>
          <c:showSerName val="0"/>
          <c:showPercent val="0"/>
          <c:showBubbleSize val="0"/>
        </c:dLbls>
        <c:gapWidth val="150"/>
        <c:overlap val="100"/>
        <c:axId val="956791744"/>
        <c:axId val="956797320"/>
      </c:barChart>
      <c:catAx>
        <c:axId val="956791744"/>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956797320"/>
        <c:crosses val="autoZero"/>
        <c:auto val="1"/>
        <c:lblAlgn val="ctr"/>
        <c:lblOffset val="100"/>
        <c:noMultiLvlLbl val="0"/>
      </c:catAx>
      <c:valAx>
        <c:axId val="956797320"/>
        <c:scaling>
          <c:orientation val="minMax"/>
          <c:max val="0.35000000000000003"/>
          <c:min val="-1.0000000000000002E-2"/>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400">
                    <a:latin typeface="Arial" panose="020B0604020202020204" pitchFamily="34" charset="0"/>
                    <a:cs typeface="Arial" panose="020B0604020202020204" pitchFamily="34" charset="0"/>
                  </a:rPr>
                  <a:t>Levelized cost of transport [€/tkm]</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56791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FIGURES!$R$228</c:f>
              <c:strCache>
                <c:ptCount val="1"/>
                <c:pt idx="0">
                  <c:v>Capex vehicle</c:v>
                </c:pt>
              </c:strCache>
            </c:strRef>
          </c:tx>
          <c:spPr>
            <a:solidFill>
              <a:schemeClr val="accent1"/>
            </a:solidFill>
            <a:ln>
              <a:noFill/>
            </a:ln>
            <a:effectLst/>
          </c:spPr>
          <c:invertIfNegative val="0"/>
          <c:cat>
            <c:multiLvlStrRef>
              <c:f>FIGURES!$P$229:$Q$264</c:f>
              <c:multiLvlStrCache>
                <c:ptCount val="36"/>
                <c:lvl>
                  <c:pt idx="0">
                    <c:v>Sea - Container - Heavy fuel oil</c:v>
                  </c:pt>
                  <c:pt idx="1">
                    <c:v>Sea - Container - Maritime gas oil</c:v>
                  </c:pt>
                  <c:pt idx="2">
                    <c:v>Rail - Container - Catenary</c:v>
                  </c:pt>
                  <c:pt idx="3">
                    <c:v>Rail - Container - Diesel</c:v>
                  </c:pt>
                  <c:pt idx="4">
                    <c:v>Rail - Container - Battery</c:v>
                  </c:pt>
                  <c:pt idx="5">
                    <c:v>Sea - Container - Ammonia</c:v>
                  </c:pt>
                  <c:pt idx="6">
                    <c:v>Sea - Container - Hydrogen</c:v>
                  </c:pt>
                  <c:pt idx="7">
                    <c:v>Rail - Container - Hydrogen</c:v>
                  </c:pt>
                  <c:pt idx="8">
                    <c:v>Sea - Container - Methanol</c:v>
                  </c:pt>
                  <c:pt idx="9">
                    <c:v>Road - Container - Diesel</c:v>
                  </c:pt>
                  <c:pt idx="10">
                    <c:v>Road - Container - Battery</c:v>
                  </c:pt>
                  <c:pt idx="11">
                    <c:v>Road - Container - Hydrogen</c:v>
                  </c:pt>
                  <c:pt idx="12">
                    <c:v>Sea - Container - Heavy fuel oil</c:v>
                  </c:pt>
                  <c:pt idx="13">
                    <c:v>Rail - Container - Catenary</c:v>
                  </c:pt>
                  <c:pt idx="14">
                    <c:v>Sea - Container - Maritime gas oil</c:v>
                  </c:pt>
                  <c:pt idx="15">
                    <c:v>Rail - Container - Battery</c:v>
                  </c:pt>
                  <c:pt idx="16">
                    <c:v>Sea - Container - Ammonia</c:v>
                  </c:pt>
                  <c:pt idx="17">
                    <c:v>Sea - Container - Hydrogen</c:v>
                  </c:pt>
                  <c:pt idx="18">
                    <c:v>Rail - Container - Diesel</c:v>
                  </c:pt>
                  <c:pt idx="19">
                    <c:v>Rail - Container - Hydrogen</c:v>
                  </c:pt>
                  <c:pt idx="20">
                    <c:v>Sea - Container - Methanol</c:v>
                  </c:pt>
                  <c:pt idx="21">
                    <c:v>Road - Container - Battery</c:v>
                  </c:pt>
                  <c:pt idx="22">
                    <c:v>Road - Container - Diesel</c:v>
                  </c:pt>
                  <c:pt idx="23">
                    <c:v>Road - Container - Hydrogen</c:v>
                  </c:pt>
                  <c:pt idx="24">
                    <c:v>Sea - Container - Heavy fuel oil</c:v>
                  </c:pt>
                  <c:pt idx="25">
                    <c:v>Sea - Container - Hydrogen</c:v>
                  </c:pt>
                  <c:pt idx="26">
                    <c:v>Sea - Container - Ammonia</c:v>
                  </c:pt>
                  <c:pt idx="27">
                    <c:v>Sea - Container - Maritime gas oil</c:v>
                  </c:pt>
                  <c:pt idx="28">
                    <c:v>Rail - Container - Catenary</c:v>
                  </c:pt>
                  <c:pt idx="29">
                    <c:v>Rail - Container - Hydrogen</c:v>
                  </c:pt>
                  <c:pt idx="30">
                    <c:v>Rail - Container - Battery</c:v>
                  </c:pt>
                  <c:pt idx="31">
                    <c:v>Sea - Container - Methanol</c:v>
                  </c:pt>
                  <c:pt idx="32">
                    <c:v>Rail - Container - Diesel</c:v>
                  </c:pt>
                  <c:pt idx="33">
                    <c:v>Road - Container - Battery</c:v>
                  </c:pt>
                  <c:pt idx="34">
                    <c:v>Road - Container - Hydrogen</c:v>
                  </c:pt>
                  <c:pt idx="35">
                    <c:v>Road - Container - Diesel</c:v>
                  </c:pt>
                </c:lvl>
                <c:lvl>
                  <c:pt idx="0">
                    <c:v>2023</c:v>
                  </c:pt>
                  <c:pt idx="12">
                    <c:v>2034</c:v>
                  </c:pt>
                  <c:pt idx="24">
                    <c:v>2050</c:v>
                  </c:pt>
                </c:lvl>
              </c:multiLvlStrCache>
            </c:multiLvlStrRef>
          </c:cat>
          <c:val>
            <c:numRef>
              <c:f>FIGURES!$R$229:$R$264</c:f>
              <c:numCache>
                <c:formatCode>General</c:formatCode>
                <c:ptCount val="36"/>
                <c:pt idx="0">
                  <c:v>1.0347449498978036E-3</c:v>
                </c:pt>
                <c:pt idx="1">
                  <c:v>1.0347449498978036E-3</c:v>
                </c:pt>
                <c:pt idx="2">
                  <c:v>1.0902430594344164E-3</c:v>
                </c:pt>
                <c:pt idx="3">
                  <c:v>7.6317014160409149E-4</c:v>
                </c:pt>
                <c:pt idx="4">
                  <c:v>2.1696909640280381E-3</c:v>
                </c:pt>
                <c:pt idx="5">
                  <c:v>2.0676718491395704E-3</c:v>
                </c:pt>
                <c:pt idx="6">
                  <c:v>2.0678991054715748E-3</c:v>
                </c:pt>
                <c:pt idx="7">
                  <c:v>2.1632138711235615E-3</c:v>
                </c:pt>
                <c:pt idx="8">
                  <c:v>1.3444866658711308E-3</c:v>
                </c:pt>
                <c:pt idx="9">
                  <c:v>6.4495368251871292E-3</c:v>
                </c:pt>
                <c:pt idx="10">
                  <c:v>2.3691681943378187E-2</c:v>
                </c:pt>
                <c:pt idx="11">
                  <c:v>2.3374265103106976E-2</c:v>
                </c:pt>
                <c:pt idx="12">
                  <c:v>1.0347449498978036E-3</c:v>
                </c:pt>
                <c:pt idx="13">
                  <c:v>1.0902430594344164E-3</c:v>
                </c:pt>
                <c:pt idx="14">
                  <c:v>1.0347449498978036E-3</c:v>
                </c:pt>
                <c:pt idx="15">
                  <c:v>1.8209695944675583E-3</c:v>
                </c:pt>
                <c:pt idx="16">
                  <c:v>1.9812010201050753E-3</c:v>
                </c:pt>
                <c:pt idx="17">
                  <c:v>1.9922371300663917E-3</c:v>
                </c:pt>
                <c:pt idx="18">
                  <c:v>7.6317014160409149E-4</c:v>
                </c:pt>
                <c:pt idx="19">
                  <c:v>1.6052596798267933E-3</c:v>
                </c:pt>
                <c:pt idx="20">
                  <c:v>1.3120601049831952E-3</c:v>
                </c:pt>
                <c:pt idx="21">
                  <c:v>1.2195666695447615E-2</c:v>
                </c:pt>
                <c:pt idx="22">
                  <c:v>6.7111667881585542E-3</c:v>
                </c:pt>
                <c:pt idx="23">
                  <c:v>1.3602217096595365E-2</c:v>
                </c:pt>
                <c:pt idx="24">
                  <c:v>1.0347449498978036E-3</c:v>
                </c:pt>
                <c:pt idx="25">
                  <c:v>1.3569040676564852E-3</c:v>
                </c:pt>
                <c:pt idx="26">
                  <c:v>1.2551060916366106E-3</c:v>
                </c:pt>
                <c:pt idx="27">
                  <c:v>1.0347449498978036E-3</c:v>
                </c:pt>
                <c:pt idx="28">
                  <c:v>1.0902430594344164E-3</c:v>
                </c:pt>
                <c:pt idx="29">
                  <c:v>8.7510622887057403E-4</c:v>
                </c:pt>
                <c:pt idx="30">
                  <c:v>1.364623687619921E-3</c:v>
                </c:pt>
                <c:pt idx="31">
                  <c:v>1.0397745068075209E-3</c:v>
                </c:pt>
                <c:pt idx="32">
                  <c:v>7.6317014160409149E-4</c:v>
                </c:pt>
                <c:pt idx="33">
                  <c:v>8.9023613155393838E-3</c:v>
                </c:pt>
                <c:pt idx="34">
                  <c:v>9.5184690021196325E-3</c:v>
                </c:pt>
                <c:pt idx="35">
                  <c:v>7.0535426020101408E-3</c:v>
                </c:pt>
              </c:numCache>
            </c:numRef>
          </c:val>
          <c:extLst>
            <c:ext xmlns:c16="http://schemas.microsoft.com/office/drawing/2014/chart" uri="{C3380CC4-5D6E-409C-BE32-E72D297353CC}">
              <c16:uniqueId val="{00000000-2CAB-468E-BC12-1CE65EF5B569}"/>
            </c:ext>
          </c:extLst>
        </c:ser>
        <c:ser>
          <c:idx val="1"/>
          <c:order val="1"/>
          <c:tx>
            <c:strRef>
              <c:f>FIGURES!$S$228</c:f>
              <c:strCache>
                <c:ptCount val="1"/>
                <c:pt idx="0">
                  <c:v>Residual value (vehicle)</c:v>
                </c:pt>
              </c:strCache>
            </c:strRef>
          </c:tx>
          <c:spPr>
            <a:solidFill>
              <a:schemeClr val="accent2"/>
            </a:solidFill>
            <a:ln>
              <a:noFill/>
            </a:ln>
            <a:effectLst/>
          </c:spPr>
          <c:invertIfNegative val="0"/>
          <c:cat>
            <c:multiLvlStrRef>
              <c:f>FIGURES!$P$229:$Q$264</c:f>
              <c:multiLvlStrCache>
                <c:ptCount val="36"/>
                <c:lvl>
                  <c:pt idx="0">
                    <c:v>Sea - Container - Heavy fuel oil</c:v>
                  </c:pt>
                  <c:pt idx="1">
                    <c:v>Sea - Container - Maritime gas oil</c:v>
                  </c:pt>
                  <c:pt idx="2">
                    <c:v>Rail - Container - Catenary</c:v>
                  </c:pt>
                  <c:pt idx="3">
                    <c:v>Rail - Container - Diesel</c:v>
                  </c:pt>
                  <c:pt idx="4">
                    <c:v>Rail - Container - Battery</c:v>
                  </c:pt>
                  <c:pt idx="5">
                    <c:v>Sea - Container - Ammonia</c:v>
                  </c:pt>
                  <c:pt idx="6">
                    <c:v>Sea - Container - Hydrogen</c:v>
                  </c:pt>
                  <c:pt idx="7">
                    <c:v>Rail - Container - Hydrogen</c:v>
                  </c:pt>
                  <c:pt idx="8">
                    <c:v>Sea - Container - Methanol</c:v>
                  </c:pt>
                  <c:pt idx="9">
                    <c:v>Road - Container - Diesel</c:v>
                  </c:pt>
                  <c:pt idx="10">
                    <c:v>Road - Container - Battery</c:v>
                  </c:pt>
                  <c:pt idx="11">
                    <c:v>Road - Container - Hydrogen</c:v>
                  </c:pt>
                  <c:pt idx="12">
                    <c:v>Sea - Container - Heavy fuel oil</c:v>
                  </c:pt>
                  <c:pt idx="13">
                    <c:v>Rail - Container - Catenary</c:v>
                  </c:pt>
                  <c:pt idx="14">
                    <c:v>Sea - Container - Maritime gas oil</c:v>
                  </c:pt>
                  <c:pt idx="15">
                    <c:v>Rail - Container - Battery</c:v>
                  </c:pt>
                  <c:pt idx="16">
                    <c:v>Sea - Container - Ammonia</c:v>
                  </c:pt>
                  <c:pt idx="17">
                    <c:v>Sea - Container - Hydrogen</c:v>
                  </c:pt>
                  <c:pt idx="18">
                    <c:v>Rail - Container - Diesel</c:v>
                  </c:pt>
                  <c:pt idx="19">
                    <c:v>Rail - Container - Hydrogen</c:v>
                  </c:pt>
                  <c:pt idx="20">
                    <c:v>Sea - Container - Methanol</c:v>
                  </c:pt>
                  <c:pt idx="21">
                    <c:v>Road - Container - Battery</c:v>
                  </c:pt>
                  <c:pt idx="22">
                    <c:v>Road - Container - Diesel</c:v>
                  </c:pt>
                  <c:pt idx="23">
                    <c:v>Road - Container - Hydrogen</c:v>
                  </c:pt>
                  <c:pt idx="24">
                    <c:v>Sea - Container - Heavy fuel oil</c:v>
                  </c:pt>
                  <c:pt idx="25">
                    <c:v>Sea - Container - Hydrogen</c:v>
                  </c:pt>
                  <c:pt idx="26">
                    <c:v>Sea - Container - Ammonia</c:v>
                  </c:pt>
                  <c:pt idx="27">
                    <c:v>Sea - Container - Maritime gas oil</c:v>
                  </c:pt>
                  <c:pt idx="28">
                    <c:v>Rail - Container - Catenary</c:v>
                  </c:pt>
                  <c:pt idx="29">
                    <c:v>Rail - Container - Hydrogen</c:v>
                  </c:pt>
                  <c:pt idx="30">
                    <c:v>Rail - Container - Battery</c:v>
                  </c:pt>
                  <c:pt idx="31">
                    <c:v>Sea - Container - Methanol</c:v>
                  </c:pt>
                  <c:pt idx="32">
                    <c:v>Rail - Container - Diesel</c:v>
                  </c:pt>
                  <c:pt idx="33">
                    <c:v>Road - Container - Battery</c:v>
                  </c:pt>
                  <c:pt idx="34">
                    <c:v>Road - Container - Hydrogen</c:v>
                  </c:pt>
                  <c:pt idx="35">
                    <c:v>Road - Container - Diesel</c:v>
                  </c:pt>
                </c:lvl>
                <c:lvl>
                  <c:pt idx="0">
                    <c:v>2023</c:v>
                  </c:pt>
                  <c:pt idx="12">
                    <c:v>2034</c:v>
                  </c:pt>
                  <c:pt idx="24">
                    <c:v>2050</c:v>
                  </c:pt>
                </c:lvl>
              </c:multiLvlStrCache>
            </c:multiLvlStrRef>
          </c:cat>
          <c:val>
            <c:numRef>
              <c:f>FIGURES!$S$229:$S$264</c:f>
              <c:numCache>
                <c:formatCode>General</c:formatCode>
                <c:ptCount val="36"/>
                <c:pt idx="0">
                  <c:v>-1.0336086682377807E-4</c:v>
                </c:pt>
                <c:pt idx="1">
                  <c:v>-1.0336086682377807E-4</c:v>
                </c:pt>
                <c:pt idx="2">
                  <c:v>-1.6353645891516245E-4</c:v>
                </c:pt>
                <c:pt idx="3">
                  <c:v>-1.1346797345547289E-4</c:v>
                </c:pt>
                <c:pt idx="4">
                  <c:v>-1.1028374067486764E-4</c:v>
                </c:pt>
                <c:pt idx="5">
                  <c:v>-1.0351994625618128E-4</c:v>
                </c:pt>
                <c:pt idx="6">
                  <c:v>-1.0354267188938173E-4</c:v>
                </c:pt>
                <c:pt idx="7">
                  <c:v>-1.0931217673919614E-4</c:v>
                </c:pt>
                <c:pt idx="8">
                  <c:v>-6.7337961459558828E-5</c:v>
                </c:pt>
                <c:pt idx="9">
                  <c:v>-1.6030702191455165E-3</c:v>
                </c:pt>
                <c:pt idx="10">
                  <c:v>-3.6019223357858176E-3</c:v>
                </c:pt>
                <c:pt idx="11">
                  <c:v>-3.5424872620014453E-3</c:v>
                </c:pt>
                <c:pt idx="12">
                  <c:v>-9.7956440009122124E-5</c:v>
                </c:pt>
                <c:pt idx="13">
                  <c:v>-1.6353645891516245E-4</c:v>
                </c:pt>
                <c:pt idx="14">
                  <c:v>-9.7956440009122124E-5</c:v>
                </c:pt>
                <c:pt idx="15">
                  <c:v>-1.5096790045692366E-4</c:v>
                </c:pt>
                <c:pt idx="16">
                  <c:v>-1.0568171698204363E-4</c:v>
                </c:pt>
                <c:pt idx="17">
                  <c:v>-1.067853279781753E-4</c:v>
                </c:pt>
                <c:pt idx="18">
                  <c:v>-8.0920645629828101E-5</c:v>
                </c:pt>
                <c:pt idx="19">
                  <c:v>-1.1861141326080898E-4</c:v>
                </c:pt>
                <c:pt idx="20">
                  <c:v>-7.1121060229817985E-5</c:v>
                </c:pt>
                <c:pt idx="21">
                  <c:v>-2.5312150332824808E-3</c:v>
                </c:pt>
                <c:pt idx="22">
                  <c:v>-1.3676032524712327E-3</c:v>
                </c:pt>
                <c:pt idx="23">
                  <c:v>-2.721219397624406E-3</c:v>
                </c:pt>
                <c:pt idx="24">
                  <c:v>-5.2575506979843073E-5</c:v>
                </c:pt>
                <c:pt idx="25">
                  <c:v>-1.3401388779574273E-4</c:v>
                </c:pt>
                <c:pt idx="26">
                  <c:v>-1.2383409019375524E-4</c:v>
                </c:pt>
                <c:pt idx="27">
                  <c:v>-5.2575506979843073E-5</c:v>
                </c:pt>
                <c:pt idx="28">
                  <c:v>-1.6353645891516245E-4</c:v>
                </c:pt>
                <c:pt idx="29">
                  <c:v>-1.3078063744341263E-4</c:v>
                </c:pt>
                <c:pt idx="30">
                  <c:v>-2.0420825625581466E-4</c:v>
                </c:pt>
                <c:pt idx="31">
                  <c:v>-1.0288771335031333E-4</c:v>
                </c:pt>
                <c:pt idx="32">
                  <c:v>-3.832836099071531E-5</c:v>
                </c:pt>
                <c:pt idx="33">
                  <c:v>-2.2244856106439686E-3</c:v>
                </c:pt>
                <c:pt idx="34">
                  <c:v>-2.3780107811737857E-3</c:v>
                </c:pt>
                <c:pt idx="35">
                  <c:v>-1.0594650200048046E-3</c:v>
                </c:pt>
              </c:numCache>
            </c:numRef>
          </c:val>
          <c:extLst>
            <c:ext xmlns:c16="http://schemas.microsoft.com/office/drawing/2014/chart" uri="{C3380CC4-5D6E-409C-BE32-E72D297353CC}">
              <c16:uniqueId val="{00000001-2CAB-468E-BC12-1CE65EF5B569}"/>
            </c:ext>
          </c:extLst>
        </c:ser>
        <c:ser>
          <c:idx val="2"/>
          <c:order val="2"/>
          <c:tx>
            <c:strRef>
              <c:f>FIGURES!$T$228</c:f>
              <c:strCache>
                <c:ptCount val="1"/>
                <c:pt idx="0">
                  <c:v>Capex costumization</c:v>
                </c:pt>
              </c:strCache>
            </c:strRef>
          </c:tx>
          <c:spPr>
            <a:solidFill>
              <a:schemeClr val="accent3"/>
            </a:solidFill>
            <a:ln>
              <a:noFill/>
            </a:ln>
            <a:effectLst/>
          </c:spPr>
          <c:invertIfNegative val="0"/>
          <c:cat>
            <c:multiLvlStrRef>
              <c:f>FIGURES!$P$229:$Q$264</c:f>
              <c:multiLvlStrCache>
                <c:ptCount val="36"/>
                <c:lvl>
                  <c:pt idx="0">
                    <c:v>Sea - Container - Heavy fuel oil</c:v>
                  </c:pt>
                  <c:pt idx="1">
                    <c:v>Sea - Container - Maritime gas oil</c:v>
                  </c:pt>
                  <c:pt idx="2">
                    <c:v>Rail - Container - Catenary</c:v>
                  </c:pt>
                  <c:pt idx="3">
                    <c:v>Rail - Container - Diesel</c:v>
                  </c:pt>
                  <c:pt idx="4">
                    <c:v>Rail - Container - Battery</c:v>
                  </c:pt>
                  <c:pt idx="5">
                    <c:v>Sea - Container - Ammonia</c:v>
                  </c:pt>
                  <c:pt idx="6">
                    <c:v>Sea - Container - Hydrogen</c:v>
                  </c:pt>
                  <c:pt idx="7">
                    <c:v>Rail - Container - Hydrogen</c:v>
                  </c:pt>
                  <c:pt idx="8">
                    <c:v>Sea - Container - Methanol</c:v>
                  </c:pt>
                  <c:pt idx="9">
                    <c:v>Road - Container - Diesel</c:v>
                  </c:pt>
                  <c:pt idx="10">
                    <c:v>Road - Container - Battery</c:v>
                  </c:pt>
                  <c:pt idx="11">
                    <c:v>Road - Container - Hydrogen</c:v>
                  </c:pt>
                  <c:pt idx="12">
                    <c:v>Sea - Container - Heavy fuel oil</c:v>
                  </c:pt>
                  <c:pt idx="13">
                    <c:v>Rail - Container - Catenary</c:v>
                  </c:pt>
                  <c:pt idx="14">
                    <c:v>Sea - Container - Maritime gas oil</c:v>
                  </c:pt>
                  <c:pt idx="15">
                    <c:v>Rail - Container - Battery</c:v>
                  </c:pt>
                  <c:pt idx="16">
                    <c:v>Sea - Container - Ammonia</c:v>
                  </c:pt>
                  <c:pt idx="17">
                    <c:v>Sea - Container - Hydrogen</c:v>
                  </c:pt>
                  <c:pt idx="18">
                    <c:v>Rail - Container - Diesel</c:v>
                  </c:pt>
                  <c:pt idx="19">
                    <c:v>Rail - Container - Hydrogen</c:v>
                  </c:pt>
                  <c:pt idx="20">
                    <c:v>Sea - Container - Methanol</c:v>
                  </c:pt>
                  <c:pt idx="21">
                    <c:v>Road - Container - Battery</c:v>
                  </c:pt>
                  <c:pt idx="22">
                    <c:v>Road - Container - Diesel</c:v>
                  </c:pt>
                  <c:pt idx="23">
                    <c:v>Road - Container - Hydrogen</c:v>
                  </c:pt>
                  <c:pt idx="24">
                    <c:v>Sea - Container - Heavy fuel oil</c:v>
                  </c:pt>
                  <c:pt idx="25">
                    <c:v>Sea - Container - Hydrogen</c:v>
                  </c:pt>
                  <c:pt idx="26">
                    <c:v>Sea - Container - Ammonia</c:v>
                  </c:pt>
                  <c:pt idx="27">
                    <c:v>Sea - Container - Maritime gas oil</c:v>
                  </c:pt>
                  <c:pt idx="28">
                    <c:v>Rail - Container - Catenary</c:v>
                  </c:pt>
                  <c:pt idx="29">
                    <c:v>Rail - Container - Hydrogen</c:v>
                  </c:pt>
                  <c:pt idx="30">
                    <c:v>Rail - Container - Battery</c:v>
                  </c:pt>
                  <c:pt idx="31">
                    <c:v>Sea - Container - Methanol</c:v>
                  </c:pt>
                  <c:pt idx="32">
                    <c:v>Rail - Container - Diesel</c:v>
                  </c:pt>
                  <c:pt idx="33">
                    <c:v>Road - Container - Battery</c:v>
                  </c:pt>
                  <c:pt idx="34">
                    <c:v>Road - Container - Hydrogen</c:v>
                  </c:pt>
                  <c:pt idx="35">
                    <c:v>Road - Container - Diesel</c:v>
                  </c:pt>
                </c:lvl>
                <c:lvl>
                  <c:pt idx="0">
                    <c:v>2023</c:v>
                  </c:pt>
                  <c:pt idx="12">
                    <c:v>2034</c:v>
                  </c:pt>
                  <c:pt idx="24">
                    <c:v>2050</c:v>
                  </c:pt>
                </c:lvl>
              </c:multiLvlStrCache>
            </c:multiLvlStrRef>
          </c:cat>
          <c:val>
            <c:numRef>
              <c:f>FIGURES!$T$229:$T$264</c:f>
              <c:numCache>
                <c:formatCode>General</c:formatCode>
                <c:ptCount val="36"/>
                <c:pt idx="0">
                  <c:v>3.4491498329926784E-4</c:v>
                </c:pt>
                <c:pt idx="1">
                  <c:v>3.4491498329926784E-4</c:v>
                </c:pt>
                <c:pt idx="2">
                  <c:v>5.087458787818432E-4</c:v>
                </c:pt>
                <c:pt idx="3">
                  <c:v>5.087458787818432E-4</c:v>
                </c:pt>
                <c:pt idx="4">
                  <c:v>5.087458787818432E-4</c:v>
                </c:pt>
                <c:pt idx="5">
                  <c:v>3.4491498329926784E-4</c:v>
                </c:pt>
                <c:pt idx="6">
                  <c:v>3.4491498329926784E-4</c:v>
                </c:pt>
                <c:pt idx="7">
                  <c:v>5.087458787818432E-4</c:v>
                </c:pt>
                <c:pt idx="8">
                  <c:v>3.4491498329926784E-4</c:v>
                </c:pt>
                <c:pt idx="9">
                  <c:v>1.552776665375814E-3</c:v>
                </c:pt>
                <c:pt idx="10">
                  <c:v>1.552776665375814E-3</c:v>
                </c:pt>
                <c:pt idx="11">
                  <c:v>1.552776665375814E-3</c:v>
                </c:pt>
                <c:pt idx="12">
                  <c:v>3.4491498329926784E-4</c:v>
                </c:pt>
                <c:pt idx="13">
                  <c:v>5.087458787818432E-4</c:v>
                </c:pt>
                <c:pt idx="14">
                  <c:v>3.4491498329926784E-4</c:v>
                </c:pt>
                <c:pt idx="15">
                  <c:v>5.087458787818432E-4</c:v>
                </c:pt>
                <c:pt idx="16">
                  <c:v>3.4491498329926784E-4</c:v>
                </c:pt>
                <c:pt idx="17">
                  <c:v>3.4491498329926784E-4</c:v>
                </c:pt>
                <c:pt idx="18">
                  <c:v>5.087458787818432E-4</c:v>
                </c:pt>
                <c:pt idx="19">
                  <c:v>5.087458787818432E-4</c:v>
                </c:pt>
                <c:pt idx="20">
                  <c:v>3.4491498329926784E-4</c:v>
                </c:pt>
                <c:pt idx="21">
                  <c:v>1.552776665375814E-3</c:v>
                </c:pt>
                <c:pt idx="22">
                  <c:v>1.552776665375814E-3</c:v>
                </c:pt>
                <c:pt idx="23">
                  <c:v>1.552776665375814E-3</c:v>
                </c:pt>
                <c:pt idx="24">
                  <c:v>3.4491498329926784E-4</c:v>
                </c:pt>
                <c:pt idx="25">
                  <c:v>3.4491498329926784E-4</c:v>
                </c:pt>
                <c:pt idx="26">
                  <c:v>3.4491498329926784E-4</c:v>
                </c:pt>
                <c:pt idx="27">
                  <c:v>3.4491498329926784E-4</c:v>
                </c:pt>
                <c:pt idx="28">
                  <c:v>5.087458787818432E-4</c:v>
                </c:pt>
                <c:pt idx="29">
                  <c:v>5.087458787818432E-4</c:v>
                </c:pt>
                <c:pt idx="30">
                  <c:v>5.087458787818432E-4</c:v>
                </c:pt>
                <c:pt idx="31">
                  <c:v>3.4491498329926784E-4</c:v>
                </c:pt>
                <c:pt idx="32">
                  <c:v>5.087458787818432E-4</c:v>
                </c:pt>
                <c:pt idx="33">
                  <c:v>1.552776665375814E-3</c:v>
                </c:pt>
                <c:pt idx="34">
                  <c:v>1.552776665375814E-3</c:v>
                </c:pt>
                <c:pt idx="35">
                  <c:v>1.552776665375814E-3</c:v>
                </c:pt>
              </c:numCache>
            </c:numRef>
          </c:val>
          <c:extLst>
            <c:ext xmlns:c16="http://schemas.microsoft.com/office/drawing/2014/chart" uri="{C3380CC4-5D6E-409C-BE32-E72D297353CC}">
              <c16:uniqueId val="{00000002-2CAB-468E-BC12-1CE65EF5B569}"/>
            </c:ext>
          </c:extLst>
        </c:ser>
        <c:ser>
          <c:idx val="3"/>
          <c:order val="3"/>
          <c:tx>
            <c:strRef>
              <c:f>FIGURES!$U$228</c:f>
              <c:strCache>
                <c:ptCount val="1"/>
                <c:pt idx="0">
                  <c:v>Residual value (costumization)</c:v>
                </c:pt>
              </c:strCache>
            </c:strRef>
          </c:tx>
          <c:spPr>
            <a:solidFill>
              <a:schemeClr val="accent4"/>
            </a:solidFill>
            <a:ln>
              <a:noFill/>
            </a:ln>
            <a:effectLst/>
          </c:spPr>
          <c:invertIfNegative val="0"/>
          <c:cat>
            <c:multiLvlStrRef>
              <c:f>FIGURES!$P$229:$Q$264</c:f>
              <c:multiLvlStrCache>
                <c:ptCount val="36"/>
                <c:lvl>
                  <c:pt idx="0">
                    <c:v>Sea - Container - Heavy fuel oil</c:v>
                  </c:pt>
                  <c:pt idx="1">
                    <c:v>Sea - Container - Maritime gas oil</c:v>
                  </c:pt>
                  <c:pt idx="2">
                    <c:v>Rail - Container - Catenary</c:v>
                  </c:pt>
                  <c:pt idx="3">
                    <c:v>Rail - Container - Diesel</c:v>
                  </c:pt>
                  <c:pt idx="4">
                    <c:v>Rail - Container - Battery</c:v>
                  </c:pt>
                  <c:pt idx="5">
                    <c:v>Sea - Container - Ammonia</c:v>
                  </c:pt>
                  <c:pt idx="6">
                    <c:v>Sea - Container - Hydrogen</c:v>
                  </c:pt>
                  <c:pt idx="7">
                    <c:v>Rail - Container - Hydrogen</c:v>
                  </c:pt>
                  <c:pt idx="8">
                    <c:v>Sea - Container - Methanol</c:v>
                  </c:pt>
                  <c:pt idx="9">
                    <c:v>Road - Container - Diesel</c:v>
                  </c:pt>
                  <c:pt idx="10">
                    <c:v>Road - Container - Battery</c:v>
                  </c:pt>
                  <c:pt idx="11">
                    <c:v>Road - Container - Hydrogen</c:v>
                  </c:pt>
                  <c:pt idx="12">
                    <c:v>Sea - Container - Heavy fuel oil</c:v>
                  </c:pt>
                  <c:pt idx="13">
                    <c:v>Rail - Container - Catenary</c:v>
                  </c:pt>
                  <c:pt idx="14">
                    <c:v>Sea - Container - Maritime gas oil</c:v>
                  </c:pt>
                  <c:pt idx="15">
                    <c:v>Rail - Container - Battery</c:v>
                  </c:pt>
                  <c:pt idx="16">
                    <c:v>Sea - Container - Ammonia</c:v>
                  </c:pt>
                  <c:pt idx="17">
                    <c:v>Sea - Container - Hydrogen</c:v>
                  </c:pt>
                  <c:pt idx="18">
                    <c:v>Rail - Container - Diesel</c:v>
                  </c:pt>
                  <c:pt idx="19">
                    <c:v>Rail - Container - Hydrogen</c:v>
                  </c:pt>
                  <c:pt idx="20">
                    <c:v>Sea - Container - Methanol</c:v>
                  </c:pt>
                  <c:pt idx="21">
                    <c:v>Road - Container - Battery</c:v>
                  </c:pt>
                  <c:pt idx="22">
                    <c:v>Road - Container - Diesel</c:v>
                  </c:pt>
                  <c:pt idx="23">
                    <c:v>Road - Container - Hydrogen</c:v>
                  </c:pt>
                  <c:pt idx="24">
                    <c:v>Sea - Container - Heavy fuel oil</c:v>
                  </c:pt>
                  <c:pt idx="25">
                    <c:v>Sea - Container - Hydrogen</c:v>
                  </c:pt>
                  <c:pt idx="26">
                    <c:v>Sea - Container - Ammonia</c:v>
                  </c:pt>
                  <c:pt idx="27">
                    <c:v>Sea - Container - Maritime gas oil</c:v>
                  </c:pt>
                  <c:pt idx="28">
                    <c:v>Rail - Container - Catenary</c:v>
                  </c:pt>
                  <c:pt idx="29">
                    <c:v>Rail - Container - Hydrogen</c:v>
                  </c:pt>
                  <c:pt idx="30">
                    <c:v>Rail - Container - Battery</c:v>
                  </c:pt>
                  <c:pt idx="31">
                    <c:v>Sea - Container - Methanol</c:v>
                  </c:pt>
                  <c:pt idx="32">
                    <c:v>Rail - Container - Diesel</c:v>
                  </c:pt>
                  <c:pt idx="33">
                    <c:v>Road - Container - Battery</c:v>
                  </c:pt>
                  <c:pt idx="34">
                    <c:v>Road - Container - Hydrogen</c:v>
                  </c:pt>
                  <c:pt idx="35">
                    <c:v>Road - Container - Diesel</c:v>
                  </c:pt>
                </c:lvl>
                <c:lvl>
                  <c:pt idx="0">
                    <c:v>2023</c:v>
                  </c:pt>
                  <c:pt idx="12">
                    <c:v>2034</c:v>
                  </c:pt>
                  <c:pt idx="24">
                    <c:v>2050</c:v>
                  </c:pt>
                </c:lvl>
              </c:multiLvlStrCache>
            </c:multiLvlStrRef>
          </c:cat>
          <c:val>
            <c:numRef>
              <c:f>FIGURES!$U$229:$U$264</c:f>
              <c:numCache>
                <c:formatCode>General</c:formatCode>
                <c:ptCount val="36"/>
                <c:pt idx="0">
                  <c:v>-3.4491498329926788E-5</c:v>
                </c:pt>
                <c:pt idx="1">
                  <c:v>-3.4491498329926788E-5</c:v>
                </c:pt>
                <c:pt idx="2">
                  <c:v>-2.5437293939092156E-5</c:v>
                </c:pt>
                <c:pt idx="3">
                  <c:v>-2.5437293939092156E-5</c:v>
                </c:pt>
                <c:pt idx="4">
                  <c:v>-2.5437293939092156E-5</c:v>
                </c:pt>
                <c:pt idx="5">
                  <c:v>-3.4491498329926788E-5</c:v>
                </c:pt>
                <c:pt idx="6">
                  <c:v>-3.4491498329926788E-5</c:v>
                </c:pt>
                <c:pt idx="7">
                  <c:v>-2.5437293939092156E-5</c:v>
                </c:pt>
                <c:pt idx="8">
                  <c:v>-3.4491498329926788E-5</c:v>
                </c:pt>
                <c:pt idx="9">
                  <c:v>-3.8819416634395349E-4</c:v>
                </c:pt>
                <c:pt idx="10">
                  <c:v>-3.8819416634395349E-4</c:v>
                </c:pt>
                <c:pt idx="11">
                  <c:v>-3.8819416634395349E-4</c:v>
                </c:pt>
                <c:pt idx="12">
                  <c:v>-3.4491498329926788E-5</c:v>
                </c:pt>
                <c:pt idx="13">
                  <c:v>-2.5437293939092156E-5</c:v>
                </c:pt>
                <c:pt idx="14">
                  <c:v>-3.4491498329926788E-5</c:v>
                </c:pt>
                <c:pt idx="15">
                  <c:v>-2.5437293939092156E-5</c:v>
                </c:pt>
                <c:pt idx="16">
                  <c:v>-3.4491498329926788E-5</c:v>
                </c:pt>
                <c:pt idx="17">
                  <c:v>-3.4491498329926788E-5</c:v>
                </c:pt>
                <c:pt idx="18">
                  <c:v>-2.5437293939092156E-5</c:v>
                </c:pt>
                <c:pt idx="19">
                  <c:v>-2.5437293939092156E-5</c:v>
                </c:pt>
                <c:pt idx="20">
                  <c:v>-3.4491498329926788E-5</c:v>
                </c:pt>
                <c:pt idx="21">
                  <c:v>-3.8819416634395349E-4</c:v>
                </c:pt>
                <c:pt idx="22">
                  <c:v>-3.8819416634395349E-4</c:v>
                </c:pt>
                <c:pt idx="23">
                  <c:v>-3.8819416634395349E-4</c:v>
                </c:pt>
                <c:pt idx="24">
                  <c:v>-3.4491498329926788E-5</c:v>
                </c:pt>
                <c:pt idx="25">
                  <c:v>-3.4491498329926788E-5</c:v>
                </c:pt>
                <c:pt idx="26">
                  <c:v>-3.4491498329926788E-5</c:v>
                </c:pt>
                <c:pt idx="27">
                  <c:v>-3.4491498329926788E-5</c:v>
                </c:pt>
                <c:pt idx="28">
                  <c:v>-2.5437293939092156E-5</c:v>
                </c:pt>
                <c:pt idx="29">
                  <c:v>-2.5437293939092156E-5</c:v>
                </c:pt>
                <c:pt idx="30">
                  <c:v>-2.5437293939092156E-5</c:v>
                </c:pt>
                <c:pt idx="31">
                  <c:v>-3.4491498329926788E-5</c:v>
                </c:pt>
                <c:pt idx="32">
                  <c:v>-2.5437293939092156E-5</c:v>
                </c:pt>
                <c:pt idx="33">
                  <c:v>-3.8819416634395349E-4</c:v>
                </c:pt>
                <c:pt idx="34">
                  <c:v>-3.8819416634395349E-4</c:v>
                </c:pt>
                <c:pt idx="35">
                  <c:v>-3.8819416634395349E-4</c:v>
                </c:pt>
              </c:numCache>
            </c:numRef>
          </c:val>
          <c:extLst>
            <c:ext xmlns:c16="http://schemas.microsoft.com/office/drawing/2014/chart" uri="{C3380CC4-5D6E-409C-BE32-E72D297353CC}">
              <c16:uniqueId val="{00000003-2CAB-468E-BC12-1CE65EF5B569}"/>
            </c:ext>
          </c:extLst>
        </c:ser>
        <c:ser>
          <c:idx val="4"/>
          <c:order val="4"/>
          <c:tx>
            <c:strRef>
              <c:f>FIGURES!$V$228</c:f>
              <c:strCache>
                <c:ptCount val="1"/>
                <c:pt idx="0">
                  <c:v>Opex fix (admin, crew, insurance)</c:v>
                </c:pt>
              </c:strCache>
            </c:strRef>
          </c:tx>
          <c:spPr>
            <a:solidFill>
              <a:schemeClr val="accent5"/>
            </a:solidFill>
            <a:ln>
              <a:noFill/>
            </a:ln>
            <a:effectLst/>
          </c:spPr>
          <c:invertIfNegative val="0"/>
          <c:cat>
            <c:multiLvlStrRef>
              <c:f>FIGURES!$P$229:$Q$264</c:f>
              <c:multiLvlStrCache>
                <c:ptCount val="36"/>
                <c:lvl>
                  <c:pt idx="0">
                    <c:v>Sea - Container - Heavy fuel oil</c:v>
                  </c:pt>
                  <c:pt idx="1">
                    <c:v>Sea - Container - Maritime gas oil</c:v>
                  </c:pt>
                  <c:pt idx="2">
                    <c:v>Rail - Container - Catenary</c:v>
                  </c:pt>
                  <c:pt idx="3">
                    <c:v>Rail - Container - Diesel</c:v>
                  </c:pt>
                  <c:pt idx="4">
                    <c:v>Rail - Container - Battery</c:v>
                  </c:pt>
                  <c:pt idx="5">
                    <c:v>Sea - Container - Ammonia</c:v>
                  </c:pt>
                  <c:pt idx="6">
                    <c:v>Sea - Container - Hydrogen</c:v>
                  </c:pt>
                  <c:pt idx="7">
                    <c:v>Rail - Container - Hydrogen</c:v>
                  </c:pt>
                  <c:pt idx="8">
                    <c:v>Sea - Container - Methanol</c:v>
                  </c:pt>
                  <c:pt idx="9">
                    <c:v>Road - Container - Diesel</c:v>
                  </c:pt>
                  <c:pt idx="10">
                    <c:v>Road - Container - Battery</c:v>
                  </c:pt>
                  <c:pt idx="11">
                    <c:v>Road - Container - Hydrogen</c:v>
                  </c:pt>
                  <c:pt idx="12">
                    <c:v>Sea - Container - Heavy fuel oil</c:v>
                  </c:pt>
                  <c:pt idx="13">
                    <c:v>Rail - Container - Catenary</c:v>
                  </c:pt>
                  <c:pt idx="14">
                    <c:v>Sea - Container - Maritime gas oil</c:v>
                  </c:pt>
                  <c:pt idx="15">
                    <c:v>Rail - Container - Battery</c:v>
                  </c:pt>
                  <c:pt idx="16">
                    <c:v>Sea - Container - Ammonia</c:v>
                  </c:pt>
                  <c:pt idx="17">
                    <c:v>Sea - Container - Hydrogen</c:v>
                  </c:pt>
                  <c:pt idx="18">
                    <c:v>Rail - Container - Diesel</c:v>
                  </c:pt>
                  <c:pt idx="19">
                    <c:v>Rail - Container - Hydrogen</c:v>
                  </c:pt>
                  <c:pt idx="20">
                    <c:v>Sea - Container - Methanol</c:v>
                  </c:pt>
                  <c:pt idx="21">
                    <c:v>Road - Container - Battery</c:v>
                  </c:pt>
                  <c:pt idx="22">
                    <c:v>Road - Container - Diesel</c:v>
                  </c:pt>
                  <c:pt idx="23">
                    <c:v>Road - Container - Hydrogen</c:v>
                  </c:pt>
                  <c:pt idx="24">
                    <c:v>Sea - Container - Heavy fuel oil</c:v>
                  </c:pt>
                  <c:pt idx="25">
                    <c:v>Sea - Container - Hydrogen</c:v>
                  </c:pt>
                  <c:pt idx="26">
                    <c:v>Sea - Container - Ammonia</c:v>
                  </c:pt>
                  <c:pt idx="27">
                    <c:v>Sea - Container - Maritime gas oil</c:v>
                  </c:pt>
                  <c:pt idx="28">
                    <c:v>Rail - Container - Catenary</c:v>
                  </c:pt>
                  <c:pt idx="29">
                    <c:v>Rail - Container - Hydrogen</c:v>
                  </c:pt>
                  <c:pt idx="30">
                    <c:v>Rail - Container - Battery</c:v>
                  </c:pt>
                  <c:pt idx="31">
                    <c:v>Sea - Container - Methanol</c:v>
                  </c:pt>
                  <c:pt idx="32">
                    <c:v>Rail - Container - Diesel</c:v>
                  </c:pt>
                  <c:pt idx="33">
                    <c:v>Road - Container - Battery</c:v>
                  </c:pt>
                  <c:pt idx="34">
                    <c:v>Road - Container - Hydrogen</c:v>
                  </c:pt>
                  <c:pt idx="35">
                    <c:v>Road - Container - Diesel</c:v>
                  </c:pt>
                </c:lvl>
                <c:lvl>
                  <c:pt idx="0">
                    <c:v>2023</c:v>
                  </c:pt>
                  <c:pt idx="12">
                    <c:v>2034</c:v>
                  </c:pt>
                  <c:pt idx="24">
                    <c:v>2050</c:v>
                  </c:pt>
                </c:lvl>
              </c:multiLvlStrCache>
            </c:multiLvlStrRef>
          </c:cat>
          <c:val>
            <c:numRef>
              <c:f>FIGURES!$V$229:$V$264</c:f>
              <c:numCache>
                <c:formatCode>General</c:formatCode>
                <c:ptCount val="36"/>
                <c:pt idx="0">
                  <c:v>1.0654632223259673E-3</c:v>
                </c:pt>
                <c:pt idx="1">
                  <c:v>1.0654632223259673E-3</c:v>
                </c:pt>
                <c:pt idx="2">
                  <c:v>1.525610244097639E-3</c:v>
                </c:pt>
                <c:pt idx="3">
                  <c:v>1.525610244097639E-3</c:v>
                </c:pt>
                <c:pt idx="4">
                  <c:v>1.525610244097639E-3</c:v>
                </c:pt>
                <c:pt idx="5">
                  <c:v>1.0654632223259673E-3</c:v>
                </c:pt>
                <c:pt idx="6">
                  <c:v>1.0654632223259673E-3</c:v>
                </c:pt>
                <c:pt idx="7">
                  <c:v>1.525610244097639E-3</c:v>
                </c:pt>
                <c:pt idx="8">
                  <c:v>1.0654632223259673E-3</c:v>
                </c:pt>
                <c:pt idx="9">
                  <c:v>2.6666666666666665E-2</c:v>
                </c:pt>
                <c:pt idx="10">
                  <c:v>2.6666666666666665E-2</c:v>
                </c:pt>
                <c:pt idx="11">
                  <c:v>2.6666666666666665E-2</c:v>
                </c:pt>
                <c:pt idx="12">
                  <c:v>1.0654632223259673E-3</c:v>
                </c:pt>
                <c:pt idx="13">
                  <c:v>1.525610244097639E-3</c:v>
                </c:pt>
                <c:pt idx="14">
                  <c:v>1.0654632223259673E-3</c:v>
                </c:pt>
                <c:pt idx="15">
                  <c:v>1.525610244097639E-3</c:v>
                </c:pt>
                <c:pt idx="16">
                  <c:v>1.0654632223259673E-3</c:v>
                </c:pt>
                <c:pt idx="17">
                  <c:v>1.0654632223259673E-3</c:v>
                </c:pt>
                <c:pt idx="18">
                  <c:v>1.525610244097639E-3</c:v>
                </c:pt>
                <c:pt idx="19">
                  <c:v>1.525610244097639E-3</c:v>
                </c:pt>
                <c:pt idx="20">
                  <c:v>1.0654632223259673E-3</c:v>
                </c:pt>
                <c:pt idx="21">
                  <c:v>2.6666666666666665E-2</c:v>
                </c:pt>
                <c:pt idx="22">
                  <c:v>2.6666666666666665E-2</c:v>
                </c:pt>
                <c:pt idx="23">
                  <c:v>2.6666666666666665E-2</c:v>
                </c:pt>
                <c:pt idx="24">
                  <c:v>1.0654632223259673E-3</c:v>
                </c:pt>
                <c:pt idx="25">
                  <c:v>1.0654632223259673E-3</c:v>
                </c:pt>
                <c:pt idx="26">
                  <c:v>1.0654632223259673E-3</c:v>
                </c:pt>
                <c:pt idx="27">
                  <c:v>1.0654632223259673E-3</c:v>
                </c:pt>
                <c:pt idx="28">
                  <c:v>1.525610244097639E-3</c:v>
                </c:pt>
                <c:pt idx="29">
                  <c:v>1.525610244097639E-3</c:v>
                </c:pt>
                <c:pt idx="30">
                  <c:v>1.525610244097639E-3</c:v>
                </c:pt>
                <c:pt idx="31">
                  <c:v>1.0654632223259673E-3</c:v>
                </c:pt>
                <c:pt idx="32">
                  <c:v>1.525610244097639E-3</c:v>
                </c:pt>
                <c:pt idx="33">
                  <c:v>2.6666666666666665E-2</c:v>
                </c:pt>
                <c:pt idx="34">
                  <c:v>2.6666666666666665E-2</c:v>
                </c:pt>
                <c:pt idx="35">
                  <c:v>2.6666666666666665E-2</c:v>
                </c:pt>
              </c:numCache>
            </c:numRef>
          </c:val>
          <c:extLst>
            <c:ext xmlns:c16="http://schemas.microsoft.com/office/drawing/2014/chart" uri="{C3380CC4-5D6E-409C-BE32-E72D297353CC}">
              <c16:uniqueId val="{00000004-2CAB-468E-BC12-1CE65EF5B569}"/>
            </c:ext>
          </c:extLst>
        </c:ser>
        <c:ser>
          <c:idx val="5"/>
          <c:order val="5"/>
          <c:tx>
            <c:strRef>
              <c:f>FIGURES!$W$228</c:f>
              <c:strCache>
                <c:ptCount val="1"/>
                <c:pt idx="0">
                  <c:v>Opex maintenance &amp; repair</c:v>
                </c:pt>
              </c:strCache>
            </c:strRef>
          </c:tx>
          <c:spPr>
            <a:solidFill>
              <a:schemeClr val="accent6"/>
            </a:solidFill>
            <a:ln>
              <a:noFill/>
            </a:ln>
            <a:effectLst/>
          </c:spPr>
          <c:invertIfNegative val="0"/>
          <c:cat>
            <c:multiLvlStrRef>
              <c:f>FIGURES!$P$229:$Q$264</c:f>
              <c:multiLvlStrCache>
                <c:ptCount val="36"/>
                <c:lvl>
                  <c:pt idx="0">
                    <c:v>Sea - Container - Heavy fuel oil</c:v>
                  </c:pt>
                  <c:pt idx="1">
                    <c:v>Sea - Container - Maritime gas oil</c:v>
                  </c:pt>
                  <c:pt idx="2">
                    <c:v>Rail - Container - Catenary</c:v>
                  </c:pt>
                  <c:pt idx="3">
                    <c:v>Rail - Container - Diesel</c:v>
                  </c:pt>
                  <c:pt idx="4">
                    <c:v>Rail - Container - Battery</c:v>
                  </c:pt>
                  <c:pt idx="5">
                    <c:v>Sea - Container - Ammonia</c:v>
                  </c:pt>
                  <c:pt idx="6">
                    <c:v>Sea - Container - Hydrogen</c:v>
                  </c:pt>
                  <c:pt idx="7">
                    <c:v>Rail - Container - Hydrogen</c:v>
                  </c:pt>
                  <c:pt idx="8">
                    <c:v>Sea - Container - Methanol</c:v>
                  </c:pt>
                  <c:pt idx="9">
                    <c:v>Road - Container - Diesel</c:v>
                  </c:pt>
                  <c:pt idx="10">
                    <c:v>Road - Container - Battery</c:v>
                  </c:pt>
                  <c:pt idx="11">
                    <c:v>Road - Container - Hydrogen</c:v>
                  </c:pt>
                  <c:pt idx="12">
                    <c:v>Sea - Container - Heavy fuel oil</c:v>
                  </c:pt>
                  <c:pt idx="13">
                    <c:v>Rail - Container - Catenary</c:v>
                  </c:pt>
                  <c:pt idx="14">
                    <c:v>Sea - Container - Maritime gas oil</c:v>
                  </c:pt>
                  <c:pt idx="15">
                    <c:v>Rail - Container - Battery</c:v>
                  </c:pt>
                  <c:pt idx="16">
                    <c:v>Sea - Container - Ammonia</c:v>
                  </c:pt>
                  <c:pt idx="17">
                    <c:v>Sea - Container - Hydrogen</c:v>
                  </c:pt>
                  <c:pt idx="18">
                    <c:v>Rail - Container - Diesel</c:v>
                  </c:pt>
                  <c:pt idx="19">
                    <c:v>Rail - Container - Hydrogen</c:v>
                  </c:pt>
                  <c:pt idx="20">
                    <c:v>Sea - Container - Methanol</c:v>
                  </c:pt>
                  <c:pt idx="21">
                    <c:v>Road - Container - Battery</c:v>
                  </c:pt>
                  <c:pt idx="22">
                    <c:v>Road - Container - Diesel</c:v>
                  </c:pt>
                  <c:pt idx="23">
                    <c:v>Road - Container - Hydrogen</c:v>
                  </c:pt>
                  <c:pt idx="24">
                    <c:v>Sea - Container - Heavy fuel oil</c:v>
                  </c:pt>
                  <c:pt idx="25">
                    <c:v>Sea - Container - Hydrogen</c:v>
                  </c:pt>
                  <c:pt idx="26">
                    <c:v>Sea - Container - Ammonia</c:v>
                  </c:pt>
                  <c:pt idx="27">
                    <c:v>Sea - Container - Maritime gas oil</c:v>
                  </c:pt>
                  <c:pt idx="28">
                    <c:v>Rail - Container - Catenary</c:v>
                  </c:pt>
                  <c:pt idx="29">
                    <c:v>Rail - Container - Hydrogen</c:v>
                  </c:pt>
                  <c:pt idx="30">
                    <c:v>Rail - Container - Battery</c:v>
                  </c:pt>
                  <c:pt idx="31">
                    <c:v>Sea - Container - Methanol</c:v>
                  </c:pt>
                  <c:pt idx="32">
                    <c:v>Rail - Container - Diesel</c:v>
                  </c:pt>
                  <c:pt idx="33">
                    <c:v>Road - Container - Battery</c:v>
                  </c:pt>
                  <c:pt idx="34">
                    <c:v>Road - Container - Hydrogen</c:v>
                  </c:pt>
                  <c:pt idx="35">
                    <c:v>Road - Container - Diesel</c:v>
                  </c:pt>
                </c:lvl>
                <c:lvl>
                  <c:pt idx="0">
                    <c:v>2023</c:v>
                  </c:pt>
                  <c:pt idx="12">
                    <c:v>2034</c:v>
                  </c:pt>
                  <c:pt idx="24">
                    <c:v>2050</c:v>
                  </c:pt>
                </c:lvl>
              </c:multiLvlStrCache>
            </c:multiLvlStrRef>
          </c:cat>
          <c:val>
            <c:numRef>
              <c:f>FIGURES!$W$229:$W$264</c:f>
              <c:numCache>
                <c:formatCode>General</c:formatCode>
                <c:ptCount val="36"/>
                <c:pt idx="0">
                  <c:v>4.305425874053325E-4</c:v>
                </c:pt>
                <c:pt idx="1">
                  <c:v>4.305425874053325E-4</c:v>
                </c:pt>
                <c:pt idx="2">
                  <c:v>1.6256502601040416E-3</c:v>
                </c:pt>
                <c:pt idx="3">
                  <c:v>2.6260504201680674E-3</c:v>
                </c:pt>
                <c:pt idx="4">
                  <c:v>3.235203975384487E-3</c:v>
                </c:pt>
                <c:pt idx="5">
                  <c:v>2.9878618113912231E-4</c:v>
                </c:pt>
                <c:pt idx="6">
                  <c:v>2.9878618113912231E-4</c:v>
                </c:pt>
                <c:pt idx="7">
                  <c:v>3.4736649752972778E-3</c:v>
                </c:pt>
                <c:pt idx="8">
                  <c:v>4.305425874053325E-4</c:v>
                </c:pt>
                <c:pt idx="9">
                  <c:v>7.619047619047619E-3</c:v>
                </c:pt>
                <c:pt idx="10">
                  <c:v>5.7142857142857143E-3</c:v>
                </c:pt>
                <c:pt idx="11">
                  <c:v>9.7882661839723516E-3</c:v>
                </c:pt>
                <c:pt idx="12">
                  <c:v>4.305425874053325E-4</c:v>
                </c:pt>
                <c:pt idx="13">
                  <c:v>1.6256502601040416E-3</c:v>
                </c:pt>
                <c:pt idx="14">
                  <c:v>4.305425874053325E-4</c:v>
                </c:pt>
                <c:pt idx="15">
                  <c:v>2.7152291126929309E-3</c:v>
                </c:pt>
                <c:pt idx="16">
                  <c:v>2.9878618113912231E-4</c:v>
                </c:pt>
                <c:pt idx="17">
                  <c:v>2.9878618113912231E-4</c:v>
                </c:pt>
                <c:pt idx="18">
                  <c:v>2.6260504201680674E-3</c:v>
                </c:pt>
                <c:pt idx="19">
                  <c:v>2.5777082888133671E-3</c:v>
                </c:pt>
                <c:pt idx="20">
                  <c:v>4.305425874053325E-4</c:v>
                </c:pt>
                <c:pt idx="21">
                  <c:v>5.7142857142857143E-3</c:v>
                </c:pt>
                <c:pt idx="22">
                  <c:v>7.619047619047619E-3</c:v>
                </c:pt>
                <c:pt idx="23">
                  <c:v>7.7224822441822839E-3</c:v>
                </c:pt>
                <c:pt idx="24">
                  <c:v>4.305425874053325E-4</c:v>
                </c:pt>
                <c:pt idx="25">
                  <c:v>2.9878618113912231E-4</c:v>
                </c:pt>
                <c:pt idx="26">
                  <c:v>2.9878618113912231E-4</c:v>
                </c:pt>
                <c:pt idx="27">
                  <c:v>4.305425874053325E-4</c:v>
                </c:pt>
                <c:pt idx="28">
                  <c:v>1.6256502601040416E-3</c:v>
                </c:pt>
                <c:pt idx="29">
                  <c:v>1.4052359304229719E-3</c:v>
                </c:pt>
                <c:pt idx="30">
                  <c:v>2.0347764046985059E-3</c:v>
                </c:pt>
                <c:pt idx="31">
                  <c:v>4.305425874053325E-4</c:v>
                </c:pt>
                <c:pt idx="32">
                  <c:v>2.6260504201680674E-3</c:v>
                </c:pt>
                <c:pt idx="33">
                  <c:v>5.7142857142857143E-3</c:v>
                </c:pt>
                <c:pt idx="34">
                  <c:v>6.8591891840075045E-3</c:v>
                </c:pt>
                <c:pt idx="35">
                  <c:v>7.619047619047619E-3</c:v>
                </c:pt>
              </c:numCache>
            </c:numRef>
          </c:val>
          <c:extLst>
            <c:ext xmlns:c16="http://schemas.microsoft.com/office/drawing/2014/chart" uri="{C3380CC4-5D6E-409C-BE32-E72D297353CC}">
              <c16:uniqueId val="{00000005-2CAB-468E-BC12-1CE65EF5B569}"/>
            </c:ext>
          </c:extLst>
        </c:ser>
        <c:ser>
          <c:idx val="6"/>
          <c:order val="6"/>
          <c:tx>
            <c:strRef>
              <c:f>FIGURES!$X$228</c:f>
              <c:strCache>
                <c:ptCount val="1"/>
                <c:pt idx="0">
                  <c:v>Opex var (mode-fees)</c:v>
                </c:pt>
              </c:strCache>
            </c:strRef>
          </c:tx>
          <c:spPr>
            <a:solidFill>
              <a:schemeClr val="accent1">
                <a:lumMod val="60000"/>
              </a:schemeClr>
            </a:solidFill>
            <a:ln>
              <a:noFill/>
            </a:ln>
            <a:effectLst/>
          </c:spPr>
          <c:invertIfNegative val="0"/>
          <c:cat>
            <c:multiLvlStrRef>
              <c:f>FIGURES!$P$229:$Q$264</c:f>
              <c:multiLvlStrCache>
                <c:ptCount val="36"/>
                <c:lvl>
                  <c:pt idx="0">
                    <c:v>Sea - Container - Heavy fuel oil</c:v>
                  </c:pt>
                  <c:pt idx="1">
                    <c:v>Sea - Container - Maritime gas oil</c:v>
                  </c:pt>
                  <c:pt idx="2">
                    <c:v>Rail - Container - Catenary</c:v>
                  </c:pt>
                  <c:pt idx="3">
                    <c:v>Rail - Container - Diesel</c:v>
                  </c:pt>
                  <c:pt idx="4">
                    <c:v>Rail - Container - Battery</c:v>
                  </c:pt>
                  <c:pt idx="5">
                    <c:v>Sea - Container - Ammonia</c:v>
                  </c:pt>
                  <c:pt idx="6">
                    <c:v>Sea - Container - Hydrogen</c:v>
                  </c:pt>
                  <c:pt idx="7">
                    <c:v>Rail - Container - Hydrogen</c:v>
                  </c:pt>
                  <c:pt idx="8">
                    <c:v>Sea - Container - Methanol</c:v>
                  </c:pt>
                  <c:pt idx="9">
                    <c:v>Road - Container - Diesel</c:v>
                  </c:pt>
                  <c:pt idx="10">
                    <c:v>Road - Container - Battery</c:v>
                  </c:pt>
                  <c:pt idx="11">
                    <c:v>Road - Container - Hydrogen</c:v>
                  </c:pt>
                  <c:pt idx="12">
                    <c:v>Sea - Container - Heavy fuel oil</c:v>
                  </c:pt>
                  <c:pt idx="13">
                    <c:v>Rail - Container - Catenary</c:v>
                  </c:pt>
                  <c:pt idx="14">
                    <c:v>Sea - Container - Maritime gas oil</c:v>
                  </c:pt>
                  <c:pt idx="15">
                    <c:v>Rail - Container - Battery</c:v>
                  </c:pt>
                  <c:pt idx="16">
                    <c:v>Sea - Container - Ammonia</c:v>
                  </c:pt>
                  <c:pt idx="17">
                    <c:v>Sea - Container - Hydrogen</c:v>
                  </c:pt>
                  <c:pt idx="18">
                    <c:v>Rail - Container - Diesel</c:v>
                  </c:pt>
                  <c:pt idx="19">
                    <c:v>Rail - Container - Hydrogen</c:v>
                  </c:pt>
                  <c:pt idx="20">
                    <c:v>Sea - Container - Methanol</c:v>
                  </c:pt>
                  <c:pt idx="21">
                    <c:v>Road - Container - Battery</c:v>
                  </c:pt>
                  <c:pt idx="22">
                    <c:v>Road - Container - Diesel</c:v>
                  </c:pt>
                  <c:pt idx="23">
                    <c:v>Road - Container - Hydrogen</c:v>
                  </c:pt>
                  <c:pt idx="24">
                    <c:v>Sea - Container - Heavy fuel oil</c:v>
                  </c:pt>
                  <c:pt idx="25">
                    <c:v>Sea - Container - Hydrogen</c:v>
                  </c:pt>
                  <c:pt idx="26">
                    <c:v>Sea - Container - Ammonia</c:v>
                  </c:pt>
                  <c:pt idx="27">
                    <c:v>Sea - Container - Maritime gas oil</c:v>
                  </c:pt>
                  <c:pt idx="28">
                    <c:v>Rail - Container - Catenary</c:v>
                  </c:pt>
                  <c:pt idx="29">
                    <c:v>Rail - Container - Hydrogen</c:v>
                  </c:pt>
                  <c:pt idx="30">
                    <c:v>Rail - Container - Battery</c:v>
                  </c:pt>
                  <c:pt idx="31">
                    <c:v>Sea - Container - Methanol</c:v>
                  </c:pt>
                  <c:pt idx="32">
                    <c:v>Rail - Container - Diesel</c:v>
                  </c:pt>
                  <c:pt idx="33">
                    <c:v>Road - Container - Battery</c:v>
                  </c:pt>
                  <c:pt idx="34">
                    <c:v>Road - Container - Hydrogen</c:v>
                  </c:pt>
                  <c:pt idx="35">
                    <c:v>Road - Container - Diesel</c:v>
                  </c:pt>
                </c:lvl>
                <c:lvl>
                  <c:pt idx="0">
                    <c:v>2023</c:v>
                  </c:pt>
                  <c:pt idx="12">
                    <c:v>2034</c:v>
                  </c:pt>
                  <c:pt idx="24">
                    <c:v>2050</c:v>
                  </c:pt>
                </c:lvl>
              </c:multiLvlStrCache>
            </c:multiLvlStrRef>
          </c:cat>
          <c:val>
            <c:numRef>
              <c:f>FIGURES!$X$229:$X$264</c:f>
              <c:numCache>
                <c:formatCode>General</c:formatCode>
                <c:ptCount val="36"/>
                <c:pt idx="0">
                  <c:v>1.7869725535414797E-4</c:v>
                </c:pt>
                <c:pt idx="1">
                  <c:v>1.7869725535414797E-4</c:v>
                </c:pt>
                <c:pt idx="2">
                  <c:v>1.6256502601040416E-3</c:v>
                </c:pt>
                <c:pt idx="3">
                  <c:v>1.6256502601040416E-3</c:v>
                </c:pt>
                <c:pt idx="4">
                  <c:v>1.6256502601040416E-3</c:v>
                </c:pt>
                <c:pt idx="5">
                  <c:v>1.7869725535414797E-4</c:v>
                </c:pt>
                <c:pt idx="6">
                  <c:v>1.7869725535414797E-4</c:v>
                </c:pt>
                <c:pt idx="7">
                  <c:v>1.6256502601040416E-3</c:v>
                </c:pt>
                <c:pt idx="8">
                  <c:v>1.7869725535414797E-4</c:v>
                </c:pt>
                <c:pt idx="9">
                  <c:v>4.4000000000000003E-3</c:v>
                </c:pt>
                <c:pt idx="10">
                  <c:v>4.4000000000000003E-3</c:v>
                </c:pt>
                <c:pt idx="11">
                  <c:v>4.4000000000000003E-3</c:v>
                </c:pt>
                <c:pt idx="12">
                  <c:v>1.7869725535414797E-4</c:v>
                </c:pt>
                <c:pt idx="13">
                  <c:v>1.6256502601040416E-3</c:v>
                </c:pt>
                <c:pt idx="14">
                  <c:v>1.7869725535414797E-4</c:v>
                </c:pt>
                <c:pt idx="15">
                  <c:v>1.6256502601040416E-3</c:v>
                </c:pt>
                <c:pt idx="16">
                  <c:v>1.7869725535414797E-4</c:v>
                </c:pt>
                <c:pt idx="17">
                  <c:v>1.7869725535414797E-4</c:v>
                </c:pt>
                <c:pt idx="18">
                  <c:v>1.6256502601040416E-3</c:v>
                </c:pt>
                <c:pt idx="19">
                  <c:v>1.6256502601040416E-3</c:v>
                </c:pt>
                <c:pt idx="20">
                  <c:v>1.7869725535414797E-4</c:v>
                </c:pt>
                <c:pt idx="21">
                  <c:v>4.4000000000000003E-3</c:v>
                </c:pt>
                <c:pt idx="22">
                  <c:v>4.4000000000000003E-3</c:v>
                </c:pt>
                <c:pt idx="23">
                  <c:v>4.4000000000000003E-3</c:v>
                </c:pt>
                <c:pt idx="24">
                  <c:v>1.7869725535414797E-4</c:v>
                </c:pt>
                <c:pt idx="25">
                  <c:v>1.7869725535414797E-4</c:v>
                </c:pt>
                <c:pt idx="26">
                  <c:v>1.7869725535414797E-4</c:v>
                </c:pt>
                <c:pt idx="27">
                  <c:v>1.7869725535414797E-4</c:v>
                </c:pt>
                <c:pt idx="28">
                  <c:v>1.6256502601040416E-3</c:v>
                </c:pt>
                <c:pt idx="29">
                  <c:v>1.6256502601040416E-3</c:v>
                </c:pt>
                <c:pt idx="30">
                  <c:v>1.6256502601040416E-3</c:v>
                </c:pt>
                <c:pt idx="31">
                  <c:v>1.7869725535414797E-4</c:v>
                </c:pt>
                <c:pt idx="32">
                  <c:v>1.6256502601040416E-3</c:v>
                </c:pt>
                <c:pt idx="33">
                  <c:v>4.4000000000000003E-3</c:v>
                </c:pt>
                <c:pt idx="34">
                  <c:v>4.4000000000000003E-3</c:v>
                </c:pt>
                <c:pt idx="35">
                  <c:v>4.4000000000000003E-3</c:v>
                </c:pt>
              </c:numCache>
            </c:numRef>
          </c:val>
          <c:extLst>
            <c:ext xmlns:c16="http://schemas.microsoft.com/office/drawing/2014/chart" uri="{C3380CC4-5D6E-409C-BE32-E72D297353CC}">
              <c16:uniqueId val="{00000006-2CAB-468E-BC12-1CE65EF5B569}"/>
            </c:ext>
          </c:extLst>
        </c:ser>
        <c:ser>
          <c:idx val="7"/>
          <c:order val="7"/>
          <c:tx>
            <c:strRef>
              <c:f>FIGURES!$Y$228</c:f>
              <c:strCache>
                <c:ptCount val="1"/>
                <c:pt idx="0">
                  <c:v>Fuel Cost</c:v>
                </c:pt>
              </c:strCache>
            </c:strRef>
          </c:tx>
          <c:spPr>
            <a:solidFill>
              <a:schemeClr val="accent2">
                <a:lumMod val="60000"/>
              </a:schemeClr>
            </a:solidFill>
            <a:ln>
              <a:noFill/>
            </a:ln>
            <a:effectLst/>
          </c:spPr>
          <c:invertIfNegative val="0"/>
          <c:cat>
            <c:multiLvlStrRef>
              <c:f>FIGURES!$P$229:$Q$264</c:f>
              <c:multiLvlStrCache>
                <c:ptCount val="36"/>
                <c:lvl>
                  <c:pt idx="0">
                    <c:v>Sea - Container - Heavy fuel oil</c:v>
                  </c:pt>
                  <c:pt idx="1">
                    <c:v>Sea - Container - Maritime gas oil</c:v>
                  </c:pt>
                  <c:pt idx="2">
                    <c:v>Rail - Container - Catenary</c:v>
                  </c:pt>
                  <c:pt idx="3">
                    <c:v>Rail - Container - Diesel</c:v>
                  </c:pt>
                  <c:pt idx="4">
                    <c:v>Rail - Container - Battery</c:v>
                  </c:pt>
                  <c:pt idx="5">
                    <c:v>Sea - Container - Ammonia</c:v>
                  </c:pt>
                  <c:pt idx="6">
                    <c:v>Sea - Container - Hydrogen</c:v>
                  </c:pt>
                  <c:pt idx="7">
                    <c:v>Rail - Container - Hydrogen</c:v>
                  </c:pt>
                  <c:pt idx="8">
                    <c:v>Sea - Container - Methanol</c:v>
                  </c:pt>
                  <c:pt idx="9">
                    <c:v>Road - Container - Diesel</c:v>
                  </c:pt>
                  <c:pt idx="10">
                    <c:v>Road - Container - Battery</c:v>
                  </c:pt>
                  <c:pt idx="11">
                    <c:v>Road - Container - Hydrogen</c:v>
                  </c:pt>
                  <c:pt idx="12">
                    <c:v>Sea - Container - Heavy fuel oil</c:v>
                  </c:pt>
                  <c:pt idx="13">
                    <c:v>Rail - Container - Catenary</c:v>
                  </c:pt>
                  <c:pt idx="14">
                    <c:v>Sea - Container - Maritime gas oil</c:v>
                  </c:pt>
                  <c:pt idx="15">
                    <c:v>Rail - Container - Battery</c:v>
                  </c:pt>
                  <c:pt idx="16">
                    <c:v>Sea - Container - Ammonia</c:v>
                  </c:pt>
                  <c:pt idx="17">
                    <c:v>Sea - Container - Hydrogen</c:v>
                  </c:pt>
                  <c:pt idx="18">
                    <c:v>Rail - Container - Diesel</c:v>
                  </c:pt>
                  <c:pt idx="19">
                    <c:v>Rail - Container - Hydrogen</c:v>
                  </c:pt>
                  <c:pt idx="20">
                    <c:v>Sea - Container - Methanol</c:v>
                  </c:pt>
                  <c:pt idx="21">
                    <c:v>Road - Container - Battery</c:v>
                  </c:pt>
                  <c:pt idx="22">
                    <c:v>Road - Container - Diesel</c:v>
                  </c:pt>
                  <c:pt idx="23">
                    <c:v>Road - Container - Hydrogen</c:v>
                  </c:pt>
                  <c:pt idx="24">
                    <c:v>Sea - Container - Heavy fuel oil</c:v>
                  </c:pt>
                  <c:pt idx="25">
                    <c:v>Sea - Container - Hydrogen</c:v>
                  </c:pt>
                  <c:pt idx="26">
                    <c:v>Sea - Container - Ammonia</c:v>
                  </c:pt>
                  <c:pt idx="27">
                    <c:v>Sea - Container - Maritime gas oil</c:v>
                  </c:pt>
                  <c:pt idx="28">
                    <c:v>Rail - Container - Catenary</c:v>
                  </c:pt>
                  <c:pt idx="29">
                    <c:v>Rail - Container - Hydrogen</c:v>
                  </c:pt>
                  <c:pt idx="30">
                    <c:v>Rail - Container - Battery</c:v>
                  </c:pt>
                  <c:pt idx="31">
                    <c:v>Sea - Container - Methanol</c:v>
                  </c:pt>
                  <c:pt idx="32">
                    <c:v>Rail - Container - Diesel</c:v>
                  </c:pt>
                  <c:pt idx="33">
                    <c:v>Road - Container - Battery</c:v>
                  </c:pt>
                  <c:pt idx="34">
                    <c:v>Road - Container - Hydrogen</c:v>
                  </c:pt>
                  <c:pt idx="35">
                    <c:v>Road - Container - Diesel</c:v>
                  </c:pt>
                </c:lvl>
                <c:lvl>
                  <c:pt idx="0">
                    <c:v>2023</c:v>
                  </c:pt>
                  <c:pt idx="12">
                    <c:v>2034</c:v>
                  </c:pt>
                  <c:pt idx="24">
                    <c:v>2050</c:v>
                  </c:pt>
                </c:lvl>
              </c:multiLvlStrCache>
            </c:multiLvlStrRef>
          </c:cat>
          <c:val>
            <c:numRef>
              <c:f>FIGURES!$Y$229:$Y$264</c:f>
              <c:numCache>
                <c:formatCode>General</c:formatCode>
                <c:ptCount val="36"/>
                <c:pt idx="0">
                  <c:v>1.9885516794763114E-3</c:v>
                </c:pt>
                <c:pt idx="1">
                  <c:v>4.4360443997863777E-3</c:v>
                </c:pt>
                <c:pt idx="2">
                  <c:v>1.1431958244874703E-3</c:v>
                </c:pt>
                <c:pt idx="3">
                  <c:v>2.2211568098096379E-3</c:v>
                </c:pt>
                <c:pt idx="4">
                  <c:v>1.2146455635179375E-3</c:v>
                </c:pt>
                <c:pt idx="5">
                  <c:v>9.8428104466493447E-3</c:v>
                </c:pt>
                <c:pt idx="6">
                  <c:v>1.0998500789181229E-2</c:v>
                </c:pt>
                <c:pt idx="7">
                  <c:v>3.8421317513793731E-3</c:v>
                </c:pt>
                <c:pt idx="8">
                  <c:v>2.3179426482003523E-2</c:v>
                </c:pt>
                <c:pt idx="9">
                  <c:v>7.4999956937941573E-3</c:v>
                </c:pt>
                <c:pt idx="10">
                  <c:v>4.8598821824262202E-3</c:v>
                </c:pt>
                <c:pt idx="11">
                  <c:v>1.7662855635614476E-2</c:v>
                </c:pt>
                <c:pt idx="12">
                  <c:v>1.5474706053674888E-3</c:v>
                </c:pt>
                <c:pt idx="13">
                  <c:v>1.2598676559575413E-3</c:v>
                </c:pt>
                <c:pt idx="14">
                  <c:v>3.4520844409647441E-3</c:v>
                </c:pt>
                <c:pt idx="15">
                  <c:v>1.3386093844548876E-3</c:v>
                </c:pt>
                <c:pt idx="16">
                  <c:v>8.9836445575697966E-3</c:v>
                </c:pt>
                <c:pt idx="17">
                  <c:v>9.2291415253648278E-3</c:v>
                </c:pt>
                <c:pt idx="18">
                  <c:v>1.7417000535071175E-3</c:v>
                </c:pt>
                <c:pt idx="19">
                  <c:v>3.0499460445107076E-3</c:v>
                </c:pt>
                <c:pt idx="20">
                  <c:v>1.5009822198599115E-2</c:v>
                </c:pt>
                <c:pt idx="21">
                  <c:v>4.3849921608221393E-3</c:v>
                </c:pt>
                <c:pt idx="22">
                  <c:v>5.4476320290995812E-3</c:v>
                </c:pt>
                <c:pt idx="23">
                  <c:v>1.1998664665103829E-2</c:v>
                </c:pt>
                <c:pt idx="24">
                  <c:v>1.2203078195589308E-3</c:v>
                </c:pt>
                <c:pt idx="25">
                  <c:v>5.7533619435061857E-3</c:v>
                </c:pt>
                <c:pt idx="26">
                  <c:v>5.981953183602064E-3</c:v>
                </c:pt>
                <c:pt idx="27">
                  <c:v>2.7222524437461601E-3</c:v>
                </c:pt>
                <c:pt idx="28">
                  <c:v>1.1055597498197058E-3</c:v>
                </c:pt>
                <c:pt idx="29">
                  <c:v>1.9299899093780208E-3</c:v>
                </c:pt>
                <c:pt idx="30">
                  <c:v>1.1746572341834374E-3</c:v>
                </c:pt>
                <c:pt idx="31">
                  <c:v>8.648815138865713E-3</c:v>
                </c:pt>
                <c:pt idx="32">
                  <c:v>1.4677247641913908E-3</c:v>
                </c:pt>
                <c:pt idx="33">
                  <c:v>3.6038550798649727E-3</c:v>
                </c:pt>
                <c:pt idx="34">
                  <c:v>7.486376912485577E-3</c:v>
                </c:pt>
                <c:pt idx="35">
                  <c:v>4.1127344164172217E-3</c:v>
                </c:pt>
              </c:numCache>
            </c:numRef>
          </c:val>
          <c:extLst>
            <c:ext xmlns:c16="http://schemas.microsoft.com/office/drawing/2014/chart" uri="{C3380CC4-5D6E-409C-BE32-E72D297353CC}">
              <c16:uniqueId val="{00000007-2CAB-468E-BC12-1CE65EF5B569}"/>
            </c:ext>
          </c:extLst>
        </c:ser>
        <c:ser>
          <c:idx val="8"/>
          <c:order val="8"/>
          <c:tx>
            <c:strRef>
              <c:f>FIGURES!$Z$228</c:f>
              <c:strCache>
                <c:ptCount val="1"/>
                <c:pt idx="0">
                  <c:v>Market failure (av. utilization)</c:v>
                </c:pt>
              </c:strCache>
            </c:strRef>
          </c:tx>
          <c:spPr>
            <a:solidFill>
              <a:schemeClr val="accent3">
                <a:lumMod val="60000"/>
              </a:schemeClr>
            </a:solidFill>
            <a:ln>
              <a:noFill/>
            </a:ln>
            <a:effectLst/>
          </c:spPr>
          <c:invertIfNegative val="0"/>
          <c:cat>
            <c:multiLvlStrRef>
              <c:f>FIGURES!$P$229:$Q$264</c:f>
              <c:multiLvlStrCache>
                <c:ptCount val="36"/>
                <c:lvl>
                  <c:pt idx="0">
                    <c:v>Sea - Container - Heavy fuel oil</c:v>
                  </c:pt>
                  <c:pt idx="1">
                    <c:v>Sea - Container - Maritime gas oil</c:v>
                  </c:pt>
                  <c:pt idx="2">
                    <c:v>Rail - Container - Catenary</c:v>
                  </c:pt>
                  <c:pt idx="3">
                    <c:v>Rail - Container - Diesel</c:v>
                  </c:pt>
                  <c:pt idx="4">
                    <c:v>Rail - Container - Battery</c:v>
                  </c:pt>
                  <c:pt idx="5">
                    <c:v>Sea - Container - Ammonia</c:v>
                  </c:pt>
                  <c:pt idx="6">
                    <c:v>Sea - Container - Hydrogen</c:v>
                  </c:pt>
                  <c:pt idx="7">
                    <c:v>Rail - Container - Hydrogen</c:v>
                  </c:pt>
                  <c:pt idx="8">
                    <c:v>Sea - Container - Methanol</c:v>
                  </c:pt>
                  <c:pt idx="9">
                    <c:v>Road - Container - Diesel</c:v>
                  </c:pt>
                  <c:pt idx="10">
                    <c:v>Road - Container - Battery</c:v>
                  </c:pt>
                  <c:pt idx="11">
                    <c:v>Road - Container - Hydrogen</c:v>
                  </c:pt>
                  <c:pt idx="12">
                    <c:v>Sea - Container - Heavy fuel oil</c:v>
                  </c:pt>
                  <c:pt idx="13">
                    <c:v>Rail - Container - Catenary</c:v>
                  </c:pt>
                  <c:pt idx="14">
                    <c:v>Sea - Container - Maritime gas oil</c:v>
                  </c:pt>
                  <c:pt idx="15">
                    <c:v>Rail - Container - Battery</c:v>
                  </c:pt>
                  <c:pt idx="16">
                    <c:v>Sea - Container - Ammonia</c:v>
                  </c:pt>
                  <c:pt idx="17">
                    <c:v>Sea - Container - Hydrogen</c:v>
                  </c:pt>
                  <c:pt idx="18">
                    <c:v>Rail - Container - Diesel</c:v>
                  </c:pt>
                  <c:pt idx="19">
                    <c:v>Rail - Container - Hydrogen</c:v>
                  </c:pt>
                  <c:pt idx="20">
                    <c:v>Sea - Container - Methanol</c:v>
                  </c:pt>
                  <c:pt idx="21">
                    <c:v>Road - Container - Battery</c:v>
                  </c:pt>
                  <c:pt idx="22">
                    <c:v>Road - Container - Diesel</c:v>
                  </c:pt>
                  <c:pt idx="23">
                    <c:v>Road - Container - Hydrogen</c:v>
                  </c:pt>
                  <c:pt idx="24">
                    <c:v>Sea - Container - Heavy fuel oil</c:v>
                  </c:pt>
                  <c:pt idx="25">
                    <c:v>Sea - Container - Hydrogen</c:v>
                  </c:pt>
                  <c:pt idx="26">
                    <c:v>Sea - Container - Ammonia</c:v>
                  </c:pt>
                  <c:pt idx="27">
                    <c:v>Sea - Container - Maritime gas oil</c:v>
                  </c:pt>
                  <c:pt idx="28">
                    <c:v>Rail - Container - Catenary</c:v>
                  </c:pt>
                  <c:pt idx="29">
                    <c:v>Rail - Container - Hydrogen</c:v>
                  </c:pt>
                  <c:pt idx="30">
                    <c:v>Rail - Container - Battery</c:v>
                  </c:pt>
                  <c:pt idx="31">
                    <c:v>Sea - Container - Methanol</c:v>
                  </c:pt>
                  <c:pt idx="32">
                    <c:v>Rail - Container - Diesel</c:v>
                  </c:pt>
                  <c:pt idx="33">
                    <c:v>Road - Container - Battery</c:v>
                  </c:pt>
                  <c:pt idx="34">
                    <c:v>Road - Container - Hydrogen</c:v>
                  </c:pt>
                  <c:pt idx="35">
                    <c:v>Road - Container - Diesel</c:v>
                  </c:pt>
                </c:lvl>
                <c:lvl>
                  <c:pt idx="0">
                    <c:v>2023</c:v>
                  </c:pt>
                  <c:pt idx="12">
                    <c:v>2034</c:v>
                  </c:pt>
                  <c:pt idx="24">
                    <c:v>2050</c:v>
                  </c:pt>
                </c:lvl>
              </c:multiLvlStrCache>
            </c:multiLvlStrRef>
          </c:cat>
          <c:val>
            <c:numRef>
              <c:f>FIGURES!$Z$229:$Z$264</c:f>
              <c:numCache>
                <c:formatCode>General</c:formatCode>
                <c:ptCount val="36"/>
                <c:pt idx="0">
                  <c:v>5.0630613349252557E-3</c:v>
                </c:pt>
                <c:pt idx="1">
                  <c:v>6.8149727095636499E-3</c:v>
                </c:pt>
                <c:pt idx="2">
                  <c:v>9.9594728268813798E-3</c:v>
                </c:pt>
                <c:pt idx="3">
                  <c:v>1.350779996204865E-2</c:v>
                </c:pt>
                <c:pt idx="4">
                  <c:v>1.3742966365882183E-2</c:v>
                </c:pt>
                <c:pt idx="5">
                  <c:v>1.0401517712268922E-2</c:v>
                </c:pt>
                <c:pt idx="6">
                  <c:v>1.1258240195397959E-2</c:v>
                </c:pt>
                <c:pt idx="7">
                  <c:v>1.7642151559470163E-2</c:v>
                </c:pt>
                <c:pt idx="8">
                  <c:v>1.9962888910307775E-2</c:v>
                </c:pt>
                <c:pt idx="9">
                  <c:v>3.5248037269803176E-2</c:v>
                </c:pt>
                <c:pt idx="10">
                  <c:v>4.0224158087848919E-2</c:v>
                </c:pt>
                <c:pt idx="11">
                  <c:v>5.0834109002294334E-2</c:v>
                </c:pt>
                <c:pt idx="12">
                  <c:v>6.4675979815810372E-3</c:v>
                </c:pt>
                <c:pt idx="13">
                  <c:v>1.0129869359402252E-2</c:v>
                </c:pt>
                <c:pt idx="14">
                  <c:v>7.7272827614503804E-3</c:v>
                </c:pt>
                <c:pt idx="15">
                  <c:v>1.2702032779889801E-2</c:v>
                </c:pt>
                <c:pt idx="16">
                  <c:v>9.7570304386082433E-3</c:v>
                </c:pt>
                <c:pt idx="17">
                  <c:v>9.9424909962219712E-3</c:v>
                </c:pt>
                <c:pt idx="18">
                  <c:v>1.447659171617066E-2</c:v>
                </c:pt>
                <c:pt idx="19">
                  <c:v>1.4644241808911017E-2</c:v>
                </c:pt>
                <c:pt idx="20">
                  <c:v>1.3933477784384415E-2</c:v>
                </c:pt>
                <c:pt idx="21">
                  <c:v>3.3379819142098317E-2</c:v>
                </c:pt>
                <c:pt idx="22">
                  <c:v>3.6433929617258602E-2</c:v>
                </c:pt>
                <c:pt idx="23">
                  <c:v>4.0389331457089936E-2</c:v>
                </c:pt>
                <c:pt idx="24">
                  <c:v>6.1284837744017689E-3</c:v>
                </c:pt>
                <c:pt idx="25">
                  <c:v>6.6231734591320202E-3</c:v>
                </c:pt>
                <c:pt idx="26">
                  <c:v>6.7251252770804803E-3</c:v>
                </c:pt>
                <c:pt idx="27">
                  <c:v>7.0951122246133407E-3</c:v>
                </c:pt>
                <c:pt idx="28">
                  <c:v>9.8678583639288837E-3</c:v>
                </c:pt>
                <c:pt idx="29">
                  <c:v>1.0434736817586325E-2</c:v>
                </c:pt>
                <c:pt idx="30">
                  <c:v>1.0824531230400562E-2</c:v>
                </c:pt>
                <c:pt idx="31">
                  <c:v>8.6634215848329331E-3</c:v>
                </c:pt>
                <c:pt idx="32">
                  <c:v>1.4165670803636463E-2</c:v>
                </c:pt>
                <c:pt idx="33">
                  <c:v>3.0894048511656932E-2</c:v>
                </c:pt>
                <c:pt idx="34">
                  <c:v>3.4355841857406665E-2</c:v>
                </c:pt>
                <c:pt idx="35">
                  <c:v>3.5584099003046925E-2</c:v>
                </c:pt>
              </c:numCache>
            </c:numRef>
          </c:val>
          <c:extLst>
            <c:ext xmlns:c16="http://schemas.microsoft.com/office/drawing/2014/chart" uri="{C3380CC4-5D6E-409C-BE32-E72D297353CC}">
              <c16:uniqueId val="{00000008-2CAB-468E-BC12-1CE65EF5B569}"/>
            </c:ext>
          </c:extLst>
        </c:ser>
        <c:ser>
          <c:idx val="9"/>
          <c:order val="9"/>
          <c:tx>
            <c:strRef>
              <c:f>FIGURES!$AA$228</c:f>
              <c:strCache>
                <c:ptCount val="1"/>
                <c:pt idx="0">
                  <c:v>Payload loss (fuel)</c:v>
                </c:pt>
              </c:strCache>
            </c:strRef>
          </c:tx>
          <c:spPr>
            <a:solidFill>
              <a:schemeClr val="accent4">
                <a:lumMod val="60000"/>
              </a:schemeClr>
            </a:solidFill>
            <a:ln>
              <a:noFill/>
            </a:ln>
            <a:effectLst/>
          </c:spPr>
          <c:invertIfNegative val="0"/>
          <c:cat>
            <c:multiLvlStrRef>
              <c:f>FIGURES!$P$229:$Q$264</c:f>
              <c:multiLvlStrCache>
                <c:ptCount val="36"/>
                <c:lvl>
                  <c:pt idx="0">
                    <c:v>Sea - Container - Heavy fuel oil</c:v>
                  </c:pt>
                  <c:pt idx="1">
                    <c:v>Sea - Container - Maritime gas oil</c:v>
                  </c:pt>
                  <c:pt idx="2">
                    <c:v>Rail - Container - Catenary</c:v>
                  </c:pt>
                  <c:pt idx="3">
                    <c:v>Rail - Container - Diesel</c:v>
                  </c:pt>
                  <c:pt idx="4">
                    <c:v>Rail - Container - Battery</c:v>
                  </c:pt>
                  <c:pt idx="5">
                    <c:v>Sea - Container - Ammonia</c:v>
                  </c:pt>
                  <c:pt idx="6">
                    <c:v>Sea - Container - Hydrogen</c:v>
                  </c:pt>
                  <c:pt idx="7">
                    <c:v>Rail - Container - Hydrogen</c:v>
                  </c:pt>
                  <c:pt idx="8">
                    <c:v>Sea - Container - Methanol</c:v>
                  </c:pt>
                  <c:pt idx="9">
                    <c:v>Road - Container - Diesel</c:v>
                  </c:pt>
                  <c:pt idx="10">
                    <c:v>Road - Container - Battery</c:v>
                  </c:pt>
                  <c:pt idx="11">
                    <c:v>Road - Container - Hydrogen</c:v>
                  </c:pt>
                  <c:pt idx="12">
                    <c:v>Sea - Container - Heavy fuel oil</c:v>
                  </c:pt>
                  <c:pt idx="13">
                    <c:v>Rail - Container - Catenary</c:v>
                  </c:pt>
                  <c:pt idx="14">
                    <c:v>Sea - Container - Maritime gas oil</c:v>
                  </c:pt>
                  <c:pt idx="15">
                    <c:v>Rail - Container - Battery</c:v>
                  </c:pt>
                  <c:pt idx="16">
                    <c:v>Sea - Container - Ammonia</c:v>
                  </c:pt>
                  <c:pt idx="17">
                    <c:v>Sea - Container - Hydrogen</c:v>
                  </c:pt>
                  <c:pt idx="18">
                    <c:v>Rail - Container - Diesel</c:v>
                  </c:pt>
                  <c:pt idx="19">
                    <c:v>Rail - Container - Hydrogen</c:v>
                  </c:pt>
                  <c:pt idx="20">
                    <c:v>Sea - Container - Methanol</c:v>
                  </c:pt>
                  <c:pt idx="21">
                    <c:v>Road - Container - Battery</c:v>
                  </c:pt>
                  <c:pt idx="22">
                    <c:v>Road - Container - Diesel</c:v>
                  </c:pt>
                  <c:pt idx="23">
                    <c:v>Road - Container - Hydrogen</c:v>
                  </c:pt>
                  <c:pt idx="24">
                    <c:v>Sea - Container - Heavy fuel oil</c:v>
                  </c:pt>
                  <c:pt idx="25">
                    <c:v>Sea - Container - Hydrogen</c:v>
                  </c:pt>
                  <c:pt idx="26">
                    <c:v>Sea - Container - Ammonia</c:v>
                  </c:pt>
                  <c:pt idx="27">
                    <c:v>Sea - Container - Maritime gas oil</c:v>
                  </c:pt>
                  <c:pt idx="28">
                    <c:v>Rail - Container - Catenary</c:v>
                  </c:pt>
                  <c:pt idx="29">
                    <c:v>Rail - Container - Hydrogen</c:v>
                  </c:pt>
                  <c:pt idx="30">
                    <c:v>Rail - Container - Battery</c:v>
                  </c:pt>
                  <c:pt idx="31">
                    <c:v>Sea - Container - Methanol</c:v>
                  </c:pt>
                  <c:pt idx="32">
                    <c:v>Rail - Container - Diesel</c:v>
                  </c:pt>
                  <c:pt idx="33">
                    <c:v>Road - Container - Battery</c:v>
                  </c:pt>
                  <c:pt idx="34">
                    <c:v>Road - Container - Hydrogen</c:v>
                  </c:pt>
                  <c:pt idx="35">
                    <c:v>Road - Container - Diesel</c:v>
                  </c:pt>
                </c:lvl>
                <c:lvl>
                  <c:pt idx="0">
                    <c:v>2023</c:v>
                  </c:pt>
                  <c:pt idx="12">
                    <c:v>2034</c:v>
                  </c:pt>
                  <c:pt idx="24">
                    <c:v>2050</c:v>
                  </c:pt>
                </c:lvl>
              </c:multiLvlStrCache>
            </c:multiLvlStrRef>
          </c:cat>
          <c:val>
            <c:numRef>
              <c:f>FIGURES!$AA$229:$AA$264</c:f>
              <c:numCache>
                <c:formatCode>General</c:formatCode>
                <c:ptCount val="36"/>
                <c:pt idx="0">
                  <c:v>0</c:v>
                </c:pt>
                <c:pt idx="1">
                  <c:v>0</c:v>
                </c:pt>
                <c:pt idx="2">
                  <c:v>0</c:v>
                </c:pt>
                <c:pt idx="3">
                  <c:v>0</c:v>
                </c:pt>
                <c:pt idx="4">
                  <c:v>3.7619737888599722E-4</c:v>
                </c:pt>
                <c:pt idx="5">
                  <c:v>1.2150320625057571E-3</c:v>
                </c:pt>
                <c:pt idx="6">
                  <c:v>1.6800974640097614E-3</c:v>
                </c:pt>
                <c:pt idx="7">
                  <c:v>2.387098731091112E-4</c:v>
                </c:pt>
                <c:pt idx="8">
                  <c:v>1.1177138322177524E-3</c:v>
                </c:pt>
                <c:pt idx="9">
                  <c:v>0</c:v>
                </c:pt>
                <c:pt idx="10">
                  <c:v>7.0373565939039762E-3</c:v>
                </c:pt>
                <c:pt idx="11">
                  <c:v>4.2084925011030561E-3</c:v>
                </c:pt>
                <c:pt idx="12">
                  <c:v>0</c:v>
                </c:pt>
                <c:pt idx="13">
                  <c:v>0</c:v>
                </c:pt>
                <c:pt idx="14">
                  <c:v>0</c:v>
                </c:pt>
                <c:pt idx="15">
                  <c:v>2.709278017109483E-4</c:v>
                </c:pt>
                <c:pt idx="16">
                  <c:v>1.1235856659284928E-3</c:v>
                </c:pt>
                <c:pt idx="17">
                  <c:v>1.4493686459020345E-3</c:v>
                </c:pt>
                <c:pt idx="18">
                  <c:v>0</c:v>
                </c:pt>
                <c:pt idx="19">
                  <c:v>1.981461893806151E-4</c:v>
                </c:pt>
                <c:pt idx="20">
                  <c:v>7.8012961553193885E-4</c:v>
                </c:pt>
                <c:pt idx="21">
                  <c:v>4.4802769050627939E-3</c:v>
                </c:pt>
                <c:pt idx="22">
                  <c:v>0</c:v>
                </c:pt>
                <c:pt idx="23">
                  <c:v>2.4483661246475913E-3</c:v>
                </c:pt>
                <c:pt idx="24">
                  <c:v>0</c:v>
                </c:pt>
                <c:pt idx="25">
                  <c:v>7.7731195032683734E-4</c:v>
                </c:pt>
                <c:pt idx="26">
                  <c:v>6.8188898510337589E-4</c:v>
                </c:pt>
                <c:pt idx="27">
                  <c:v>0</c:v>
                </c:pt>
                <c:pt idx="28">
                  <c:v>0</c:v>
                </c:pt>
                <c:pt idx="29">
                  <c:v>1.4118882797579859E-4</c:v>
                </c:pt>
                <c:pt idx="30">
                  <c:v>1.4679491542963011E-4</c:v>
                </c:pt>
                <c:pt idx="31">
                  <c:v>4.8506136477580175E-4</c:v>
                </c:pt>
                <c:pt idx="32">
                  <c:v>0</c:v>
                </c:pt>
                <c:pt idx="33">
                  <c:v>2.5852196016976914E-3</c:v>
                </c:pt>
                <c:pt idx="34">
                  <c:v>1.1159414175274593E-3</c:v>
                </c:pt>
                <c:pt idx="35">
                  <c:v>0</c:v>
                </c:pt>
              </c:numCache>
            </c:numRef>
          </c:val>
          <c:extLst>
            <c:ext xmlns:c16="http://schemas.microsoft.com/office/drawing/2014/chart" uri="{C3380CC4-5D6E-409C-BE32-E72D297353CC}">
              <c16:uniqueId val="{00000009-2CAB-468E-BC12-1CE65EF5B569}"/>
            </c:ext>
          </c:extLst>
        </c:ser>
        <c:ser>
          <c:idx val="10"/>
          <c:order val="10"/>
          <c:tx>
            <c:strRef>
              <c:f>FIGURES!$AB$228</c:f>
              <c:strCache>
                <c:ptCount val="1"/>
                <c:pt idx="0">
                  <c:v>Emission Cost</c:v>
                </c:pt>
              </c:strCache>
            </c:strRef>
          </c:tx>
          <c:spPr>
            <a:solidFill>
              <a:schemeClr val="accent5">
                <a:lumMod val="60000"/>
              </a:schemeClr>
            </a:solidFill>
            <a:ln>
              <a:noFill/>
            </a:ln>
            <a:effectLst/>
          </c:spPr>
          <c:invertIfNegative val="0"/>
          <c:cat>
            <c:multiLvlStrRef>
              <c:f>FIGURES!$P$229:$Q$264</c:f>
              <c:multiLvlStrCache>
                <c:ptCount val="36"/>
                <c:lvl>
                  <c:pt idx="0">
                    <c:v>Sea - Container - Heavy fuel oil</c:v>
                  </c:pt>
                  <c:pt idx="1">
                    <c:v>Sea - Container - Maritime gas oil</c:v>
                  </c:pt>
                  <c:pt idx="2">
                    <c:v>Rail - Container - Catenary</c:v>
                  </c:pt>
                  <c:pt idx="3">
                    <c:v>Rail - Container - Diesel</c:v>
                  </c:pt>
                  <c:pt idx="4">
                    <c:v>Rail - Container - Battery</c:v>
                  </c:pt>
                  <c:pt idx="5">
                    <c:v>Sea - Container - Ammonia</c:v>
                  </c:pt>
                  <c:pt idx="6">
                    <c:v>Sea - Container - Hydrogen</c:v>
                  </c:pt>
                  <c:pt idx="7">
                    <c:v>Rail - Container - Hydrogen</c:v>
                  </c:pt>
                  <c:pt idx="8">
                    <c:v>Sea - Container - Methanol</c:v>
                  </c:pt>
                  <c:pt idx="9">
                    <c:v>Road - Container - Diesel</c:v>
                  </c:pt>
                  <c:pt idx="10">
                    <c:v>Road - Container - Battery</c:v>
                  </c:pt>
                  <c:pt idx="11">
                    <c:v>Road - Container - Hydrogen</c:v>
                  </c:pt>
                  <c:pt idx="12">
                    <c:v>Sea - Container - Heavy fuel oil</c:v>
                  </c:pt>
                  <c:pt idx="13">
                    <c:v>Rail - Container - Catenary</c:v>
                  </c:pt>
                  <c:pt idx="14">
                    <c:v>Sea - Container - Maritime gas oil</c:v>
                  </c:pt>
                  <c:pt idx="15">
                    <c:v>Rail - Container - Battery</c:v>
                  </c:pt>
                  <c:pt idx="16">
                    <c:v>Sea - Container - Ammonia</c:v>
                  </c:pt>
                  <c:pt idx="17">
                    <c:v>Sea - Container - Hydrogen</c:v>
                  </c:pt>
                  <c:pt idx="18">
                    <c:v>Rail - Container - Diesel</c:v>
                  </c:pt>
                  <c:pt idx="19">
                    <c:v>Rail - Container - Hydrogen</c:v>
                  </c:pt>
                  <c:pt idx="20">
                    <c:v>Sea - Container - Methanol</c:v>
                  </c:pt>
                  <c:pt idx="21">
                    <c:v>Road - Container - Battery</c:v>
                  </c:pt>
                  <c:pt idx="22">
                    <c:v>Road - Container - Diesel</c:v>
                  </c:pt>
                  <c:pt idx="23">
                    <c:v>Road - Container - Hydrogen</c:v>
                  </c:pt>
                  <c:pt idx="24">
                    <c:v>Sea - Container - Heavy fuel oil</c:v>
                  </c:pt>
                  <c:pt idx="25">
                    <c:v>Sea - Container - Hydrogen</c:v>
                  </c:pt>
                  <c:pt idx="26">
                    <c:v>Sea - Container - Ammonia</c:v>
                  </c:pt>
                  <c:pt idx="27">
                    <c:v>Sea - Container - Maritime gas oil</c:v>
                  </c:pt>
                  <c:pt idx="28">
                    <c:v>Rail - Container - Catenary</c:v>
                  </c:pt>
                  <c:pt idx="29">
                    <c:v>Rail - Container - Hydrogen</c:v>
                  </c:pt>
                  <c:pt idx="30">
                    <c:v>Rail - Container - Battery</c:v>
                  </c:pt>
                  <c:pt idx="31">
                    <c:v>Sea - Container - Methanol</c:v>
                  </c:pt>
                  <c:pt idx="32">
                    <c:v>Rail - Container - Diesel</c:v>
                  </c:pt>
                  <c:pt idx="33">
                    <c:v>Road - Container - Battery</c:v>
                  </c:pt>
                  <c:pt idx="34">
                    <c:v>Road - Container - Hydrogen</c:v>
                  </c:pt>
                  <c:pt idx="35">
                    <c:v>Road - Container - Diesel</c:v>
                  </c:pt>
                </c:lvl>
                <c:lvl>
                  <c:pt idx="0">
                    <c:v>2023</c:v>
                  </c:pt>
                  <c:pt idx="12">
                    <c:v>2034</c:v>
                  </c:pt>
                  <c:pt idx="24">
                    <c:v>2050</c:v>
                  </c:pt>
                </c:lvl>
              </c:multiLvlStrCache>
            </c:multiLvlStrRef>
          </c:cat>
          <c:val>
            <c:numRef>
              <c:f>FIGURES!$AB$229:$AB$264</c:f>
              <c:numCache>
                <c:formatCode>General</c:formatCode>
                <c:ptCount val="36"/>
                <c:pt idx="0">
                  <c:v>1.829443359540834E-3</c:v>
                </c:pt>
                <c:pt idx="1">
                  <c:v>1.7360815489011045E-3</c:v>
                </c:pt>
                <c:pt idx="2">
                  <c:v>3.070434634345955E-5</c:v>
                </c:pt>
                <c:pt idx="3">
                  <c:v>8.6996317577796474E-4</c:v>
                </c:pt>
                <c:pt idx="4">
                  <c:v>3.2623367989925765E-5</c:v>
                </c:pt>
                <c:pt idx="5">
                  <c:v>2.4772393588019895E-4</c:v>
                </c:pt>
                <c:pt idx="6">
                  <c:v>2.4304989935415751E-4</c:v>
                </c:pt>
                <c:pt idx="7">
                  <c:v>7.390092301741751E-5</c:v>
                </c:pt>
                <c:pt idx="8">
                  <c:v>3.1444724009633705E-4</c:v>
                </c:pt>
                <c:pt idx="9">
                  <c:v>2.9375323900042061E-3</c:v>
                </c:pt>
                <c:pt idx="10">
                  <c:v>1.3227196424206973E-4</c:v>
                </c:pt>
                <c:pt idx="11">
                  <c:v>3.4287712042257822E-4</c:v>
                </c:pt>
                <c:pt idx="12">
                  <c:v>4.1524661257787056E-3</c:v>
                </c:pt>
                <c:pt idx="13">
                  <c:v>4.0839236749387171E-5</c:v>
                </c:pt>
                <c:pt idx="14">
                  <c:v>3.9405537131308793E-3</c:v>
                </c:pt>
                <c:pt idx="15">
                  <c:v>4.3391689046223865E-5</c:v>
                </c:pt>
                <c:pt idx="16">
                  <c:v>3.29492650738565E-4</c:v>
                </c:pt>
                <c:pt idx="17">
                  <c:v>3.2327580827179973E-4</c:v>
                </c:pt>
                <c:pt idx="18">
                  <c:v>2.0378339096479639E-3</c:v>
                </c:pt>
                <c:pt idx="19">
                  <c:v>9.8294139121103233E-5</c:v>
                </c:pt>
                <c:pt idx="20">
                  <c:v>4.1823998269942579E-4</c:v>
                </c:pt>
                <c:pt idx="21">
                  <c:v>1.7593229318620677E-4</c:v>
                </c:pt>
                <c:pt idx="22">
                  <c:v>6.3738697451547754E-3</c:v>
                </c:pt>
                <c:pt idx="23">
                  <c:v>4.5605399770604809E-4</c:v>
                </c:pt>
                <c:pt idx="24">
                  <c:v>3.9785632626608411E-3</c:v>
                </c:pt>
                <c:pt idx="25">
                  <c:v>1.2840718932885571E-6</c:v>
                </c:pt>
                <c:pt idx="26">
                  <c:v>1.3087655835441336E-6</c:v>
                </c:pt>
                <c:pt idx="27">
                  <c:v>3.7755256184454147E-3</c:v>
                </c:pt>
                <c:pt idx="28">
                  <c:v>1.6221602331949914E-7</c:v>
                </c:pt>
                <c:pt idx="29">
                  <c:v>3.9043051812366417E-7</c:v>
                </c:pt>
                <c:pt idx="30">
                  <c:v>1.7235452477696371E-7</c:v>
                </c:pt>
                <c:pt idx="31">
                  <c:v>1.6612755816924542E-6</c:v>
                </c:pt>
                <c:pt idx="32">
                  <c:v>2.0378339096479639E-3</c:v>
                </c:pt>
                <c:pt idx="33">
                  <c:v>6.9881416122631238E-7</c:v>
                </c:pt>
                <c:pt idx="34">
                  <c:v>1.8114752335067749E-6</c:v>
                </c:pt>
                <c:pt idx="35">
                  <c:v>5.7102461303557804E-3</c:v>
                </c:pt>
              </c:numCache>
            </c:numRef>
          </c:val>
          <c:extLst>
            <c:ext xmlns:c16="http://schemas.microsoft.com/office/drawing/2014/chart" uri="{C3380CC4-5D6E-409C-BE32-E72D297353CC}">
              <c16:uniqueId val="{0000000A-2CAB-468E-BC12-1CE65EF5B569}"/>
            </c:ext>
          </c:extLst>
        </c:ser>
        <c:dLbls>
          <c:showLegendKey val="0"/>
          <c:showVal val="0"/>
          <c:showCatName val="0"/>
          <c:showSerName val="0"/>
          <c:showPercent val="0"/>
          <c:showBubbleSize val="0"/>
        </c:dLbls>
        <c:gapWidth val="150"/>
        <c:overlap val="100"/>
        <c:axId val="696828560"/>
        <c:axId val="696826592"/>
      </c:barChart>
      <c:catAx>
        <c:axId val="696828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96826592"/>
        <c:crosses val="autoZero"/>
        <c:auto val="1"/>
        <c:lblAlgn val="ctr"/>
        <c:lblOffset val="100"/>
        <c:noMultiLvlLbl val="0"/>
      </c:catAx>
      <c:valAx>
        <c:axId val="696826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96828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1"/>
          <c:order val="0"/>
          <c:tx>
            <c:strRef>
              <c:f>FIGURES!$AI$373</c:f>
              <c:strCache>
                <c:ptCount val="1"/>
                <c:pt idx="0">
                  <c:v>Residual value (vehicle)</c:v>
                </c:pt>
              </c:strCache>
            </c:strRef>
          </c:tx>
          <c:spPr>
            <a:solidFill>
              <a:schemeClr val="accent2"/>
            </a:solidFill>
            <a:ln>
              <a:noFill/>
            </a:ln>
            <a:effectLst/>
          </c:spPr>
          <c:invertIfNegative val="0"/>
          <c:cat>
            <c:multiLvlStrRef>
              <c:f>FIGURES!$AF$374:$AG$377</c:f>
              <c:multiLvlStrCache>
                <c:ptCount val="4"/>
                <c:lvl>
                  <c:pt idx="0">
                    <c:v>Sea - Container - Heavy fuel oil</c:v>
                  </c:pt>
                  <c:pt idx="1">
                    <c:v>Sea - Container - Marine gas oil</c:v>
                  </c:pt>
                  <c:pt idx="2">
                    <c:v>Rail - Container - Diesel</c:v>
                  </c:pt>
                  <c:pt idx="3">
                    <c:v>Road - Container - Diesel</c:v>
                  </c:pt>
                </c:lvl>
                <c:lvl>
                  <c:pt idx="0">
                    <c:v>2023</c:v>
                  </c:pt>
                </c:lvl>
              </c:multiLvlStrCache>
            </c:multiLvlStrRef>
          </c:cat>
          <c:val>
            <c:numRef>
              <c:f>FIGURES!$AI$374:$AI$377</c:f>
              <c:numCache>
                <c:formatCode>General</c:formatCode>
                <c:ptCount val="4"/>
                <c:pt idx="0">
                  <c:v>-1.0336086682377807E-4</c:v>
                </c:pt>
                <c:pt idx="1">
                  <c:v>-1.0336086682377807E-4</c:v>
                </c:pt>
                <c:pt idx="2">
                  <c:v>-1.1346797345547289E-4</c:v>
                </c:pt>
                <c:pt idx="3">
                  <c:v>-1.6030702191455165E-3</c:v>
                </c:pt>
              </c:numCache>
            </c:numRef>
          </c:val>
          <c:extLst>
            <c:ext xmlns:c16="http://schemas.microsoft.com/office/drawing/2014/chart" uri="{C3380CC4-5D6E-409C-BE32-E72D297353CC}">
              <c16:uniqueId val="{00000000-854D-4BEB-87A7-EF63676B79C9}"/>
            </c:ext>
          </c:extLst>
        </c:ser>
        <c:ser>
          <c:idx val="3"/>
          <c:order val="1"/>
          <c:tx>
            <c:strRef>
              <c:f>FIGURES!$AK$373</c:f>
              <c:strCache>
                <c:ptCount val="1"/>
                <c:pt idx="0">
                  <c:v>Residual value (costumization)</c:v>
                </c:pt>
              </c:strCache>
            </c:strRef>
          </c:tx>
          <c:spPr>
            <a:solidFill>
              <a:schemeClr val="accent4"/>
            </a:solidFill>
            <a:ln>
              <a:noFill/>
            </a:ln>
            <a:effectLst/>
          </c:spPr>
          <c:invertIfNegative val="0"/>
          <c:cat>
            <c:multiLvlStrRef>
              <c:f>FIGURES!$AF$374:$AG$377</c:f>
              <c:multiLvlStrCache>
                <c:ptCount val="4"/>
                <c:lvl>
                  <c:pt idx="0">
                    <c:v>Sea - Container - Heavy fuel oil</c:v>
                  </c:pt>
                  <c:pt idx="1">
                    <c:v>Sea - Container - Marine gas oil</c:v>
                  </c:pt>
                  <c:pt idx="2">
                    <c:v>Rail - Container - Diesel</c:v>
                  </c:pt>
                  <c:pt idx="3">
                    <c:v>Road - Container - Diesel</c:v>
                  </c:pt>
                </c:lvl>
                <c:lvl>
                  <c:pt idx="0">
                    <c:v>2023</c:v>
                  </c:pt>
                </c:lvl>
              </c:multiLvlStrCache>
            </c:multiLvlStrRef>
          </c:cat>
          <c:val>
            <c:numRef>
              <c:f>FIGURES!$AK$374:$AK$377</c:f>
              <c:numCache>
                <c:formatCode>General</c:formatCode>
                <c:ptCount val="4"/>
                <c:pt idx="0">
                  <c:v>-3.4491498329926788E-5</c:v>
                </c:pt>
                <c:pt idx="1">
                  <c:v>-3.4491498329926788E-5</c:v>
                </c:pt>
                <c:pt idx="2">
                  <c:v>-2.5437293939092156E-5</c:v>
                </c:pt>
                <c:pt idx="3">
                  <c:v>-3.8819416634395349E-4</c:v>
                </c:pt>
              </c:numCache>
            </c:numRef>
          </c:val>
          <c:extLst>
            <c:ext xmlns:c16="http://schemas.microsoft.com/office/drawing/2014/chart" uri="{C3380CC4-5D6E-409C-BE32-E72D297353CC}">
              <c16:uniqueId val="{00000002-854D-4BEB-87A7-EF63676B79C9}"/>
            </c:ext>
          </c:extLst>
        </c:ser>
        <c:ser>
          <c:idx val="0"/>
          <c:order val="2"/>
          <c:tx>
            <c:strRef>
              <c:f>FIGURES!$AH$373</c:f>
              <c:strCache>
                <c:ptCount val="1"/>
                <c:pt idx="0">
                  <c:v>Capex vehicle</c:v>
                </c:pt>
              </c:strCache>
            </c:strRef>
          </c:tx>
          <c:spPr>
            <a:solidFill>
              <a:schemeClr val="accent1"/>
            </a:solidFill>
            <a:ln>
              <a:noFill/>
            </a:ln>
            <a:effectLst/>
          </c:spPr>
          <c:invertIfNegative val="0"/>
          <c:cat>
            <c:multiLvlStrRef>
              <c:f>FIGURES!$AF$374:$AG$377</c:f>
              <c:multiLvlStrCache>
                <c:ptCount val="4"/>
                <c:lvl>
                  <c:pt idx="0">
                    <c:v>Sea - Container - Heavy fuel oil</c:v>
                  </c:pt>
                  <c:pt idx="1">
                    <c:v>Sea - Container - Marine gas oil</c:v>
                  </c:pt>
                  <c:pt idx="2">
                    <c:v>Rail - Container - Diesel</c:v>
                  </c:pt>
                  <c:pt idx="3">
                    <c:v>Road - Container - Diesel</c:v>
                  </c:pt>
                </c:lvl>
                <c:lvl>
                  <c:pt idx="0">
                    <c:v>2023</c:v>
                  </c:pt>
                </c:lvl>
              </c:multiLvlStrCache>
            </c:multiLvlStrRef>
          </c:cat>
          <c:val>
            <c:numRef>
              <c:f>FIGURES!$AH$374:$AH$377</c:f>
              <c:numCache>
                <c:formatCode>General</c:formatCode>
                <c:ptCount val="4"/>
                <c:pt idx="0">
                  <c:v>1.0347449498978036E-3</c:v>
                </c:pt>
                <c:pt idx="1">
                  <c:v>1.0347449498978036E-3</c:v>
                </c:pt>
                <c:pt idx="2">
                  <c:v>7.6317014160409149E-4</c:v>
                </c:pt>
                <c:pt idx="3">
                  <c:v>6.4495368251871292E-3</c:v>
                </c:pt>
              </c:numCache>
            </c:numRef>
          </c:val>
          <c:extLst>
            <c:ext xmlns:c16="http://schemas.microsoft.com/office/drawing/2014/chart" uri="{C3380CC4-5D6E-409C-BE32-E72D297353CC}">
              <c16:uniqueId val="{00000000-F68F-4522-841D-3525F1ABAB70}"/>
            </c:ext>
          </c:extLst>
        </c:ser>
        <c:ser>
          <c:idx val="2"/>
          <c:order val="3"/>
          <c:tx>
            <c:strRef>
              <c:f>FIGURES!$AJ$373</c:f>
              <c:strCache>
                <c:ptCount val="1"/>
                <c:pt idx="0">
                  <c:v>Capex (costumization)</c:v>
                </c:pt>
              </c:strCache>
            </c:strRef>
          </c:tx>
          <c:spPr>
            <a:solidFill>
              <a:schemeClr val="accent3"/>
            </a:solidFill>
            <a:ln>
              <a:noFill/>
            </a:ln>
            <a:effectLst/>
          </c:spPr>
          <c:invertIfNegative val="0"/>
          <c:cat>
            <c:multiLvlStrRef>
              <c:f>FIGURES!$AF$374:$AG$377</c:f>
              <c:multiLvlStrCache>
                <c:ptCount val="4"/>
                <c:lvl>
                  <c:pt idx="0">
                    <c:v>Sea - Container - Heavy fuel oil</c:v>
                  </c:pt>
                  <c:pt idx="1">
                    <c:v>Sea - Container - Marine gas oil</c:v>
                  </c:pt>
                  <c:pt idx="2">
                    <c:v>Rail - Container - Diesel</c:v>
                  </c:pt>
                  <c:pt idx="3">
                    <c:v>Road - Container - Diesel</c:v>
                  </c:pt>
                </c:lvl>
                <c:lvl>
                  <c:pt idx="0">
                    <c:v>2023</c:v>
                  </c:pt>
                </c:lvl>
              </c:multiLvlStrCache>
            </c:multiLvlStrRef>
          </c:cat>
          <c:val>
            <c:numRef>
              <c:f>FIGURES!$AJ$374:$AJ$377</c:f>
              <c:numCache>
                <c:formatCode>General</c:formatCode>
                <c:ptCount val="4"/>
                <c:pt idx="0">
                  <c:v>3.4491498329926784E-4</c:v>
                </c:pt>
                <c:pt idx="1">
                  <c:v>3.4491498329926784E-4</c:v>
                </c:pt>
                <c:pt idx="2">
                  <c:v>5.087458787818432E-4</c:v>
                </c:pt>
                <c:pt idx="3">
                  <c:v>1.552776665375814E-3</c:v>
                </c:pt>
              </c:numCache>
            </c:numRef>
          </c:val>
          <c:extLst>
            <c:ext xmlns:c16="http://schemas.microsoft.com/office/drawing/2014/chart" uri="{C3380CC4-5D6E-409C-BE32-E72D297353CC}">
              <c16:uniqueId val="{00000001-854D-4BEB-87A7-EF63676B79C9}"/>
            </c:ext>
          </c:extLst>
        </c:ser>
        <c:ser>
          <c:idx val="4"/>
          <c:order val="4"/>
          <c:tx>
            <c:strRef>
              <c:f>FIGURES!$AL$373</c:f>
              <c:strCache>
                <c:ptCount val="1"/>
                <c:pt idx="0">
                  <c:v>Opex fix (e.g. Crew)</c:v>
                </c:pt>
              </c:strCache>
            </c:strRef>
          </c:tx>
          <c:spPr>
            <a:solidFill>
              <a:schemeClr val="accent5"/>
            </a:solidFill>
            <a:ln>
              <a:noFill/>
            </a:ln>
            <a:effectLst/>
          </c:spPr>
          <c:invertIfNegative val="0"/>
          <c:cat>
            <c:multiLvlStrRef>
              <c:f>FIGURES!$AF$374:$AG$377</c:f>
              <c:multiLvlStrCache>
                <c:ptCount val="4"/>
                <c:lvl>
                  <c:pt idx="0">
                    <c:v>Sea - Container - Heavy fuel oil</c:v>
                  </c:pt>
                  <c:pt idx="1">
                    <c:v>Sea - Container - Marine gas oil</c:v>
                  </c:pt>
                  <c:pt idx="2">
                    <c:v>Rail - Container - Diesel</c:v>
                  </c:pt>
                  <c:pt idx="3">
                    <c:v>Road - Container - Diesel</c:v>
                  </c:pt>
                </c:lvl>
                <c:lvl>
                  <c:pt idx="0">
                    <c:v>2023</c:v>
                  </c:pt>
                </c:lvl>
              </c:multiLvlStrCache>
            </c:multiLvlStrRef>
          </c:cat>
          <c:val>
            <c:numRef>
              <c:f>FIGURES!$AL$374:$AL$377</c:f>
              <c:numCache>
                <c:formatCode>General</c:formatCode>
                <c:ptCount val="4"/>
                <c:pt idx="0">
                  <c:v>1.0654632223259673E-3</c:v>
                </c:pt>
                <c:pt idx="1">
                  <c:v>1.0654632223259673E-3</c:v>
                </c:pt>
                <c:pt idx="2">
                  <c:v>1.525610244097639E-3</c:v>
                </c:pt>
                <c:pt idx="3">
                  <c:v>2.6666666666666665E-2</c:v>
                </c:pt>
              </c:numCache>
            </c:numRef>
          </c:val>
          <c:extLst>
            <c:ext xmlns:c16="http://schemas.microsoft.com/office/drawing/2014/chart" uri="{C3380CC4-5D6E-409C-BE32-E72D297353CC}">
              <c16:uniqueId val="{00000003-854D-4BEB-87A7-EF63676B79C9}"/>
            </c:ext>
          </c:extLst>
        </c:ser>
        <c:ser>
          <c:idx val="5"/>
          <c:order val="5"/>
          <c:tx>
            <c:strRef>
              <c:f>FIGURES!$AM$373</c:f>
              <c:strCache>
                <c:ptCount val="1"/>
                <c:pt idx="0">
                  <c:v>Opex maintenance &amp; repair</c:v>
                </c:pt>
              </c:strCache>
            </c:strRef>
          </c:tx>
          <c:spPr>
            <a:solidFill>
              <a:schemeClr val="accent6"/>
            </a:solidFill>
            <a:ln>
              <a:noFill/>
            </a:ln>
            <a:effectLst/>
          </c:spPr>
          <c:invertIfNegative val="0"/>
          <c:cat>
            <c:multiLvlStrRef>
              <c:f>FIGURES!$AF$374:$AG$377</c:f>
              <c:multiLvlStrCache>
                <c:ptCount val="4"/>
                <c:lvl>
                  <c:pt idx="0">
                    <c:v>Sea - Container - Heavy fuel oil</c:v>
                  </c:pt>
                  <c:pt idx="1">
                    <c:v>Sea - Container - Marine gas oil</c:v>
                  </c:pt>
                  <c:pt idx="2">
                    <c:v>Rail - Container - Diesel</c:v>
                  </c:pt>
                  <c:pt idx="3">
                    <c:v>Road - Container - Diesel</c:v>
                  </c:pt>
                </c:lvl>
                <c:lvl>
                  <c:pt idx="0">
                    <c:v>2023</c:v>
                  </c:pt>
                </c:lvl>
              </c:multiLvlStrCache>
            </c:multiLvlStrRef>
          </c:cat>
          <c:val>
            <c:numRef>
              <c:f>FIGURES!$AM$374:$AM$377</c:f>
              <c:numCache>
                <c:formatCode>General</c:formatCode>
                <c:ptCount val="4"/>
                <c:pt idx="0">
                  <c:v>4.305425874053325E-4</c:v>
                </c:pt>
                <c:pt idx="1">
                  <c:v>4.305425874053325E-4</c:v>
                </c:pt>
                <c:pt idx="2">
                  <c:v>2.6260504201680674E-3</c:v>
                </c:pt>
                <c:pt idx="3">
                  <c:v>7.619047619047619E-3</c:v>
                </c:pt>
              </c:numCache>
            </c:numRef>
          </c:val>
          <c:extLst>
            <c:ext xmlns:c16="http://schemas.microsoft.com/office/drawing/2014/chart" uri="{C3380CC4-5D6E-409C-BE32-E72D297353CC}">
              <c16:uniqueId val="{00000004-854D-4BEB-87A7-EF63676B79C9}"/>
            </c:ext>
          </c:extLst>
        </c:ser>
        <c:ser>
          <c:idx val="6"/>
          <c:order val="6"/>
          <c:tx>
            <c:strRef>
              <c:f>FIGURES!$AN$373</c:f>
              <c:strCache>
                <c:ptCount val="1"/>
                <c:pt idx="0">
                  <c:v>Opex var</c:v>
                </c:pt>
              </c:strCache>
            </c:strRef>
          </c:tx>
          <c:spPr>
            <a:solidFill>
              <a:schemeClr val="accent1">
                <a:lumMod val="60000"/>
              </a:schemeClr>
            </a:solidFill>
            <a:ln>
              <a:noFill/>
            </a:ln>
            <a:effectLst/>
          </c:spPr>
          <c:invertIfNegative val="0"/>
          <c:cat>
            <c:multiLvlStrRef>
              <c:f>FIGURES!$AF$374:$AG$377</c:f>
              <c:multiLvlStrCache>
                <c:ptCount val="4"/>
                <c:lvl>
                  <c:pt idx="0">
                    <c:v>Sea - Container - Heavy fuel oil</c:v>
                  </c:pt>
                  <c:pt idx="1">
                    <c:v>Sea - Container - Marine gas oil</c:v>
                  </c:pt>
                  <c:pt idx="2">
                    <c:v>Rail - Container - Diesel</c:v>
                  </c:pt>
                  <c:pt idx="3">
                    <c:v>Road - Container - Diesel</c:v>
                  </c:pt>
                </c:lvl>
                <c:lvl>
                  <c:pt idx="0">
                    <c:v>2023</c:v>
                  </c:pt>
                </c:lvl>
              </c:multiLvlStrCache>
            </c:multiLvlStrRef>
          </c:cat>
          <c:val>
            <c:numRef>
              <c:f>FIGURES!$AN$374:$AN$377</c:f>
              <c:numCache>
                <c:formatCode>General</c:formatCode>
                <c:ptCount val="4"/>
                <c:pt idx="0">
                  <c:v>1.7869725535414797E-4</c:v>
                </c:pt>
                <c:pt idx="1">
                  <c:v>1.7869725535414797E-4</c:v>
                </c:pt>
                <c:pt idx="2">
                  <c:v>1.6256502601040416E-3</c:v>
                </c:pt>
                <c:pt idx="3">
                  <c:v>4.4000000000000003E-3</c:v>
                </c:pt>
              </c:numCache>
            </c:numRef>
          </c:val>
          <c:extLst>
            <c:ext xmlns:c16="http://schemas.microsoft.com/office/drawing/2014/chart" uri="{C3380CC4-5D6E-409C-BE32-E72D297353CC}">
              <c16:uniqueId val="{00000005-854D-4BEB-87A7-EF63676B79C9}"/>
            </c:ext>
          </c:extLst>
        </c:ser>
        <c:ser>
          <c:idx val="8"/>
          <c:order val="7"/>
          <c:tx>
            <c:strRef>
              <c:f>FIGURES!$AP$373</c:f>
              <c:strCache>
                <c:ptCount val="1"/>
                <c:pt idx="0">
                  <c:v>Payload loss (market)</c:v>
                </c:pt>
              </c:strCache>
            </c:strRef>
          </c:tx>
          <c:spPr>
            <a:solidFill>
              <a:schemeClr val="accent3">
                <a:lumMod val="60000"/>
              </a:schemeClr>
            </a:solidFill>
            <a:ln>
              <a:noFill/>
            </a:ln>
            <a:effectLst/>
          </c:spPr>
          <c:invertIfNegative val="0"/>
          <c:cat>
            <c:multiLvlStrRef>
              <c:f>FIGURES!$AF$374:$AG$377</c:f>
              <c:multiLvlStrCache>
                <c:ptCount val="4"/>
                <c:lvl>
                  <c:pt idx="0">
                    <c:v>Sea - Container - Heavy fuel oil</c:v>
                  </c:pt>
                  <c:pt idx="1">
                    <c:v>Sea - Container - Marine gas oil</c:v>
                  </c:pt>
                  <c:pt idx="2">
                    <c:v>Rail - Container - Diesel</c:v>
                  </c:pt>
                  <c:pt idx="3">
                    <c:v>Road - Container - Diesel</c:v>
                  </c:pt>
                </c:lvl>
                <c:lvl>
                  <c:pt idx="0">
                    <c:v>2023</c:v>
                  </c:pt>
                </c:lvl>
              </c:multiLvlStrCache>
            </c:multiLvlStrRef>
          </c:cat>
          <c:val>
            <c:numRef>
              <c:f>FIGURES!$AP$374:$AP$377</c:f>
              <c:numCache>
                <c:formatCode>General</c:formatCode>
                <c:ptCount val="4"/>
                <c:pt idx="0">
                  <c:v>5.0630613349252557E-3</c:v>
                </c:pt>
                <c:pt idx="1">
                  <c:v>6.8149727095636499E-3</c:v>
                </c:pt>
                <c:pt idx="2">
                  <c:v>1.350779996204865E-2</c:v>
                </c:pt>
                <c:pt idx="3">
                  <c:v>3.5248037269803176E-2</c:v>
                </c:pt>
              </c:numCache>
            </c:numRef>
          </c:val>
          <c:extLst>
            <c:ext xmlns:c16="http://schemas.microsoft.com/office/drawing/2014/chart" uri="{C3380CC4-5D6E-409C-BE32-E72D297353CC}">
              <c16:uniqueId val="{00000007-854D-4BEB-87A7-EF63676B79C9}"/>
            </c:ext>
          </c:extLst>
        </c:ser>
        <c:ser>
          <c:idx val="10"/>
          <c:order val="8"/>
          <c:tx>
            <c:strRef>
              <c:f>FIGURES!$AR$373</c:f>
              <c:strCache>
                <c:ptCount val="1"/>
                <c:pt idx="0">
                  <c:v>Emission Cost</c:v>
                </c:pt>
              </c:strCache>
            </c:strRef>
          </c:tx>
          <c:spPr>
            <a:solidFill>
              <a:schemeClr val="accent5">
                <a:lumMod val="60000"/>
              </a:schemeClr>
            </a:solidFill>
            <a:ln>
              <a:noFill/>
            </a:ln>
            <a:effectLst/>
          </c:spPr>
          <c:invertIfNegative val="0"/>
          <c:errBars>
            <c:errBarType val="both"/>
            <c:errValType val="cust"/>
            <c:noEndCap val="0"/>
            <c:plus>
              <c:numRef>
                <c:f>FIGURES!$AS$374:$AS$377</c:f>
                <c:numCache>
                  <c:formatCode>General</c:formatCode>
                  <c:ptCount val="4"/>
                  <c:pt idx="0">
                    <c:v>1.2605433374408143E-4</c:v>
                  </c:pt>
                  <c:pt idx="1">
                    <c:v>2.8120094994035089E-4</c:v>
                  </c:pt>
                  <c:pt idx="2">
                    <c:v>1.8919889538404622E-4</c:v>
                  </c:pt>
                  <c:pt idx="3">
                    <c:v>4.4441891740423789E-4</c:v>
                  </c:pt>
                </c:numCache>
              </c:numRef>
            </c:plus>
            <c:minus>
              <c:numRef>
                <c:f>FIGURES!$AT$374:$AT$377</c:f>
                <c:numCache>
                  <c:formatCode>General</c:formatCode>
                  <c:ptCount val="4"/>
                  <c:pt idx="0">
                    <c:v>3.6670351634641302E-4</c:v>
                  </c:pt>
                  <c:pt idx="1">
                    <c:v>8.1803912709922308E-4</c:v>
                  </c:pt>
                  <c:pt idx="2">
                    <c:v>5.5039678657176766E-4</c:v>
                  </c:pt>
                  <c:pt idx="3">
                    <c:v>1.2928550324487059E-3</c:v>
                  </c:pt>
                </c:numCache>
              </c:numRef>
            </c:minus>
            <c:spPr>
              <a:noFill/>
              <a:ln w="9525" cap="flat" cmpd="sng" algn="ctr">
                <a:solidFill>
                  <a:schemeClr val="bg2">
                    <a:lumMod val="75000"/>
                  </a:schemeClr>
                </a:solidFill>
                <a:round/>
              </a:ln>
              <a:effectLst/>
            </c:spPr>
          </c:errBars>
          <c:cat>
            <c:multiLvlStrRef>
              <c:f>FIGURES!$AF$374:$AG$377</c:f>
              <c:multiLvlStrCache>
                <c:ptCount val="4"/>
                <c:lvl>
                  <c:pt idx="0">
                    <c:v>Sea - Container - Heavy fuel oil</c:v>
                  </c:pt>
                  <c:pt idx="1">
                    <c:v>Sea - Container - Marine gas oil</c:v>
                  </c:pt>
                  <c:pt idx="2">
                    <c:v>Rail - Container - Diesel</c:v>
                  </c:pt>
                  <c:pt idx="3">
                    <c:v>Road - Container - Diesel</c:v>
                  </c:pt>
                </c:lvl>
                <c:lvl>
                  <c:pt idx="0">
                    <c:v>2023</c:v>
                  </c:pt>
                </c:lvl>
              </c:multiLvlStrCache>
            </c:multiLvlStrRef>
          </c:cat>
          <c:val>
            <c:numRef>
              <c:f>FIGURES!$AR$374:$AR$377</c:f>
              <c:numCache>
                <c:formatCode>General</c:formatCode>
                <c:ptCount val="4"/>
                <c:pt idx="0">
                  <c:v>1.829443359540834E-3</c:v>
                </c:pt>
                <c:pt idx="1">
                  <c:v>1.7360815489011045E-3</c:v>
                </c:pt>
                <c:pt idx="2">
                  <c:v>8.6996317577796474E-4</c:v>
                </c:pt>
                <c:pt idx="3">
                  <c:v>2.9375323900042061E-3</c:v>
                </c:pt>
              </c:numCache>
            </c:numRef>
          </c:val>
          <c:extLst>
            <c:ext xmlns:c16="http://schemas.microsoft.com/office/drawing/2014/chart" uri="{C3380CC4-5D6E-409C-BE32-E72D297353CC}">
              <c16:uniqueId val="{00000009-854D-4BEB-87A7-EF63676B79C9}"/>
            </c:ext>
          </c:extLst>
        </c:ser>
        <c:ser>
          <c:idx val="9"/>
          <c:order val="9"/>
          <c:tx>
            <c:strRef>
              <c:f>FIGURES!$AQ$373</c:f>
              <c:strCache>
                <c:ptCount val="1"/>
                <c:pt idx="0">
                  <c:v>Payload loss (fuel)</c:v>
                </c:pt>
              </c:strCache>
            </c:strRef>
          </c:tx>
          <c:spPr>
            <a:solidFill>
              <a:schemeClr val="accent4">
                <a:lumMod val="60000"/>
              </a:schemeClr>
            </a:solidFill>
            <a:ln>
              <a:noFill/>
            </a:ln>
            <a:effectLst/>
          </c:spPr>
          <c:invertIfNegative val="0"/>
          <c:cat>
            <c:multiLvlStrRef>
              <c:f>FIGURES!$AF$374:$AG$377</c:f>
              <c:multiLvlStrCache>
                <c:ptCount val="4"/>
                <c:lvl>
                  <c:pt idx="0">
                    <c:v>Sea - Container - Heavy fuel oil</c:v>
                  </c:pt>
                  <c:pt idx="1">
                    <c:v>Sea - Container - Marine gas oil</c:v>
                  </c:pt>
                  <c:pt idx="2">
                    <c:v>Rail - Container - Diesel</c:v>
                  </c:pt>
                  <c:pt idx="3">
                    <c:v>Road - Container - Diesel</c:v>
                  </c:pt>
                </c:lvl>
                <c:lvl>
                  <c:pt idx="0">
                    <c:v>2023</c:v>
                  </c:pt>
                </c:lvl>
              </c:multiLvlStrCache>
            </c:multiLvlStrRef>
          </c:cat>
          <c:val>
            <c:numRef>
              <c:f>FIGURES!$AQ$374:$AQ$377</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8-854D-4BEB-87A7-EF63676B79C9}"/>
            </c:ext>
          </c:extLst>
        </c:ser>
        <c:ser>
          <c:idx val="7"/>
          <c:order val="10"/>
          <c:tx>
            <c:strRef>
              <c:f>FIGURES!$AO$373</c:f>
              <c:strCache>
                <c:ptCount val="1"/>
                <c:pt idx="0">
                  <c:v>Fuel Cost</c:v>
                </c:pt>
              </c:strCache>
            </c:strRef>
          </c:tx>
          <c:spPr>
            <a:solidFill>
              <a:schemeClr val="accent2">
                <a:lumMod val="60000"/>
              </a:schemeClr>
            </a:solidFill>
            <a:ln>
              <a:noFill/>
            </a:ln>
            <a:effectLst/>
          </c:spPr>
          <c:invertIfNegative val="0"/>
          <c:errBars>
            <c:errBarType val="both"/>
            <c:errValType val="cust"/>
            <c:noEndCap val="0"/>
            <c:plus>
              <c:numRef>
                <c:f>FIGURES!$AS$374:$AS$377</c:f>
                <c:numCache>
                  <c:formatCode>General</c:formatCode>
                  <c:ptCount val="4"/>
                  <c:pt idx="0">
                    <c:v>1.2605433374408143E-4</c:v>
                  </c:pt>
                  <c:pt idx="1">
                    <c:v>2.8120094994035089E-4</c:v>
                  </c:pt>
                  <c:pt idx="2">
                    <c:v>1.8919889538404622E-4</c:v>
                  </c:pt>
                  <c:pt idx="3">
                    <c:v>4.4441891740423789E-4</c:v>
                  </c:pt>
                </c:numCache>
              </c:numRef>
            </c:plus>
            <c:minus>
              <c:numRef>
                <c:f>FIGURES!$AT$374:$AT$377</c:f>
                <c:numCache>
                  <c:formatCode>General</c:formatCode>
                  <c:ptCount val="4"/>
                  <c:pt idx="0">
                    <c:v>3.6670351634641302E-4</c:v>
                  </c:pt>
                  <c:pt idx="1">
                    <c:v>8.1803912709922308E-4</c:v>
                  </c:pt>
                  <c:pt idx="2">
                    <c:v>5.5039678657176766E-4</c:v>
                  </c:pt>
                  <c:pt idx="3">
                    <c:v>1.2928550324487059E-3</c:v>
                  </c:pt>
                </c:numCache>
              </c:numRef>
            </c:minus>
            <c:spPr>
              <a:noFill/>
              <a:ln w="9525" cap="flat" cmpd="sng" algn="ctr">
                <a:solidFill>
                  <a:schemeClr val="tx1">
                    <a:lumMod val="65000"/>
                    <a:lumOff val="35000"/>
                  </a:schemeClr>
                </a:solidFill>
                <a:round/>
              </a:ln>
              <a:effectLst/>
            </c:spPr>
          </c:errBars>
          <c:cat>
            <c:multiLvlStrRef>
              <c:f>FIGURES!$AF$374:$AG$377</c:f>
              <c:multiLvlStrCache>
                <c:ptCount val="4"/>
                <c:lvl>
                  <c:pt idx="0">
                    <c:v>Sea - Container - Heavy fuel oil</c:v>
                  </c:pt>
                  <c:pt idx="1">
                    <c:v>Sea - Container - Marine gas oil</c:v>
                  </c:pt>
                  <c:pt idx="2">
                    <c:v>Rail - Container - Diesel</c:v>
                  </c:pt>
                  <c:pt idx="3">
                    <c:v>Road - Container - Diesel</c:v>
                  </c:pt>
                </c:lvl>
                <c:lvl>
                  <c:pt idx="0">
                    <c:v>2023</c:v>
                  </c:pt>
                </c:lvl>
              </c:multiLvlStrCache>
            </c:multiLvlStrRef>
          </c:cat>
          <c:val>
            <c:numRef>
              <c:f>FIGURES!$AO$374:$AO$377</c:f>
              <c:numCache>
                <c:formatCode>General</c:formatCode>
                <c:ptCount val="4"/>
                <c:pt idx="0">
                  <c:v>1.9885516794763114E-3</c:v>
                </c:pt>
                <c:pt idx="1">
                  <c:v>4.4360443997863777E-3</c:v>
                </c:pt>
                <c:pt idx="2">
                  <c:v>2.2211568098096379E-3</c:v>
                </c:pt>
                <c:pt idx="3">
                  <c:v>7.4999956937941573E-3</c:v>
                </c:pt>
              </c:numCache>
            </c:numRef>
          </c:val>
          <c:extLst>
            <c:ext xmlns:c16="http://schemas.microsoft.com/office/drawing/2014/chart" uri="{C3380CC4-5D6E-409C-BE32-E72D297353CC}">
              <c16:uniqueId val="{00000006-854D-4BEB-87A7-EF63676B79C9}"/>
            </c:ext>
          </c:extLst>
        </c:ser>
        <c:dLbls>
          <c:showLegendKey val="0"/>
          <c:showVal val="0"/>
          <c:showCatName val="0"/>
          <c:showSerName val="0"/>
          <c:showPercent val="0"/>
          <c:showBubbleSize val="0"/>
        </c:dLbls>
        <c:gapWidth val="150"/>
        <c:overlap val="100"/>
        <c:axId val="722911680"/>
        <c:axId val="722919552"/>
      </c:barChart>
      <c:catAx>
        <c:axId val="722911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22919552"/>
        <c:crosses val="autoZero"/>
        <c:auto val="1"/>
        <c:lblAlgn val="ctr"/>
        <c:lblOffset val="100"/>
        <c:noMultiLvlLbl val="0"/>
      </c:catAx>
      <c:valAx>
        <c:axId val="722919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722911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FIGURES!$R$279</c:f>
              <c:strCache>
                <c:ptCount val="1"/>
                <c:pt idx="0">
                  <c:v>Capex vehicle</c:v>
                </c:pt>
              </c:strCache>
            </c:strRef>
          </c:tx>
          <c:spPr>
            <a:solidFill>
              <a:schemeClr val="accent1"/>
            </a:solidFill>
            <a:ln>
              <a:noFill/>
            </a:ln>
            <a:effectLst/>
          </c:spPr>
          <c:invertIfNegative val="0"/>
          <c:cat>
            <c:multiLvlStrRef>
              <c:f>FIGURES!$P$280:$Q$294</c:f>
              <c:multiLvlStrCache>
                <c:ptCount val="15"/>
                <c:lvl>
                  <c:pt idx="0">
                    <c:v>Sea - Container - Heavy fuel oil</c:v>
                  </c:pt>
                  <c:pt idx="1">
                    <c:v>Sea - Container - Maritime gas oil</c:v>
                  </c:pt>
                  <c:pt idx="2">
                    <c:v>Sea - Container - Ammonia</c:v>
                  </c:pt>
                  <c:pt idx="3">
                    <c:v>Sea - Container - Hydrogen</c:v>
                  </c:pt>
                  <c:pt idx="4">
                    <c:v>Sea - Container - Methanol</c:v>
                  </c:pt>
                  <c:pt idx="5">
                    <c:v>Sea - Container - Heavy fuel oil</c:v>
                  </c:pt>
                  <c:pt idx="6">
                    <c:v>Sea - Container - Maritime gas oil</c:v>
                  </c:pt>
                  <c:pt idx="7">
                    <c:v>Sea - Container - Ammonia</c:v>
                  </c:pt>
                  <c:pt idx="8">
                    <c:v>Sea - Container - Hydrogen</c:v>
                  </c:pt>
                  <c:pt idx="9">
                    <c:v>Sea - Container - Methanol</c:v>
                  </c:pt>
                  <c:pt idx="10">
                    <c:v>Sea - Container - Heavy fuel oil</c:v>
                  </c:pt>
                  <c:pt idx="11">
                    <c:v>Sea - Container - Hydrogen</c:v>
                  </c:pt>
                  <c:pt idx="12">
                    <c:v>Sea - Container - Ammonia</c:v>
                  </c:pt>
                  <c:pt idx="13">
                    <c:v>Sea - Container - Maritime gas oil</c:v>
                  </c:pt>
                  <c:pt idx="14">
                    <c:v>Sea - Container - Methanol</c:v>
                  </c:pt>
                </c:lvl>
                <c:lvl>
                  <c:pt idx="0">
                    <c:v>2023</c:v>
                  </c:pt>
                  <c:pt idx="5">
                    <c:v>2034</c:v>
                  </c:pt>
                  <c:pt idx="10">
                    <c:v>2050</c:v>
                  </c:pt>
                </c:lvl>
              </c:multiLvlStrCache>
            </c:multiLvlStrRef>
          </c:cat>
          <c:val>
            <c:numRef>
              <c:f>FIGURES!$R$280:$R$294</c:f>
              <c:numCache>
                <c:formatCode>General</c:formatCode>
                <c:ptCount val="15"/>
                <c:pt idx="0">
                  <c:v>1.0347449498978036E-3</c:v>
                </c:pt>
                <c:pt idx="1">
                  <c:v>1.0347449498978036E-3</c:v>
                </c:pt>
                <c:pt idx="2">
                  <c:v>2.0676718491395704E-3</c:v>
                </c:pt>
                <c:pt idx="3">
                  <c:v>2.0678991054715748E-3</c:v>
                </c:pt>
                <c:pt idx="4">
                  <c:v>1.3444866658711308E-3</c:v>
                </c:pt>
                <c:pt idx="5">
                  <c:v>1.0347449498978036E-3</c:v>
                </c:pt>
                <c:pt idx="6">
                  <c:v>1.0347449498978036E-3</c:v>
                </c:pt>
                <c:pt idx="7">
                  <c:v>1.9812010201050753E-3</c:v>
                </c:pt>
                <c:pt idx="8">
                  <c:v>1.9922371300663917E-3</c:v>
                </c:pt>
                <c:pt idx="9">
                  <c:v>1.3120601049831952E-3</c:v>
                </c:pt>
                <c:pt idx="10">
                  <c:v>1.0347449498978036E-3</c:v>
                </c:pt>
                <c:pt idx="11">
                  <c:v>1.3569040676564852E-3</c:v>
                </c:pt>
                <c:pt idx="12">
                  <c:v>1.2551060916366106E-3</c:v>
                </c:pt>
                <c:pt idx="13">
                  <c:v>1.0347449498978036E-3</c:v>
                </c:pt>
                <c:pt idx="14">
                  <c:v>1.0397745068075209E-3</c:v>
                </c:pt>
              </c:numCache>
            </c:numRef>
          </c:val>
          <c:extLst>
            <c:ext xmlns:c16="http://schemas.microsoft.com/office/drawing/2014/chart" uri="{C3380CC4-5D6E-409C-BE32-E72D297353CC}">
              <c16:uniqueId val="{00000000-72E9-426D-A5C3-9DC6E74FB49A}"/>
            </c:ext>
          </c:extLst>
        </c:ser>
        <c:ser>
          <c:idx val="1"/>
          <c:order val="1"/>
          <c:tx>
            <c:strRef>
              <c:f>FIGURES!$S$279</c:f>
              <c:strCache>
                <c:ptCount val="1"/>
                <c:pt idx="0">
                  <c:v>Residual value (vehicle)</c:v>
                </c:pt>
              </c:strCache>
            </c:strRef>
          </c:tx>
          <c:spPr>
            <a:solidFill>
              <a:schemeClr val="accent2"/>
            </a:solidFill>
            <a:ln>
              <a:noFill/>
            </a:ln>
            <a:effectLst/>
          </c:spPr>
          <c:invertIfNegative val="0"/>
          <c:cat>
            <c:multiLvlStrRef>
              <c:f>FIGURES!$P$280:$Q$294</c:f>
              <c:multiLvlStrCache>
                <c:ptCount val="15"/>
                <c:lvl>
                  <c:pt idx="0">
                    <c:v>Sea - Container - Heavy fuel oil</c:v>
                  </c:pt>
                  <c:pt idx="1">
                    <c:v>Sea - Container - Maritime gas oil</c:v>
                  </c:pt>
                  <c:pt idx="2">
                    <c:v>Sea - Container - Ammonia</c:v>
                  </c:pt>
                  <c:pt idx="3">
                    <c:v>Sea - Container - Hydrogen</c:v>
                  </c:pt>
                  <c:pt idx="4">
                    <c:v>Sea - Container - Methanol</c:v>
                  </c:pt>
                  <c:pt idx="5">
                    <c:v>Sea - Container - Heavy fuel oil</c:v>
                  </c:pt>
                  <c:pt idx="6">
                    <c:v>Sea - Container - Maritime gas oil</c:v>
                  </c:pt>
                  <c:pt idx="7">
                    <c:v>Sea - Container - Ammonia</c:v>
                  </c:pt>
                  <c:pt idx="8">
                    <c:v>Sea - Container - Hydrogen</c:v>
                  </c:pt>
                  <c:pt idx="9">
                    <c:v>Sea - Container - Methanol</c:v>
                  </c:pt>
                  <c:pt idx="10">
                    <c:v>Sea - Container - Heavy fuel oil</c:v>
                  </c:pt>
                  <c:pt idx="11">
                    <c:v>Sea - Container - Hydrogen</c:v>
                  </c:pt>
                  <c:pt idx="12">
                    <c:v>Sea - Container - Ammonia</c:v>
                  </c:pt>
                  <c:pt idx="13">
                    <c:v>Sea - Container - Maritime gas oil</c:v>
                  </c:pt>
                  <c:pt idx="14">
                    <c:v>Sea - Container - Methanol</c:v>
                  </c:pt>
                </c:lvl>
                <c:lvl>
                  <c:pt idx="0">
                    <c:v>2023</c:v>
                  </c:pt>
                  <c:pt idx="5">
                    <c:v>2034</c:v>
                  </c:pt>
                  <c:pt idx="10">
                    <c:v>2050</c:v>
                  </c:pt>
                </c:lvl>
              </c:multiLvlStrCache>
            </c:multiLvlStrRef>
          </c:cat>
          <c:val>
            <c:numRef>
              <c:f>FIGURES!$S$280:$S$294</c:f>
              <c:numCache>
                <c:formatCode>General</c:formatCode>
                <c:ptCount val="15"/>
                <c:pt idx="0">
                  <c:v>-1.0336086682377807E-4</c:v>
                </c:pt>
                <c:pt idx="1">
                  <c:v>-1.0336086682377807E-4</c:v>
                </c:pt>
                <c:pt idx="2">
                  <c:v>-1.0351994625618128E-4</c:v>
                </c:pt>
                <c:pt idx="3">
                  <c:v>-1.0354267188938173E-4</c:v>
                </c:pt>
                <c:pt idx="4">
                  <c:v>-6.7337961459558828E-5</c:v>
                </c:pt>
                <c:pt idx="5">
                  <c:v>-9.7956440009122124E-5</c:v>
                </c:pt>
                <c:pt idx="6">
                  <c:v>-9.7956440009122124E-5</c:v>
                </c:pt>
                <c:pt idx="7">
                  <c:v>-1.0568171698204363E-4</c:v>
                </c:pt>
                <c:pt idx="8">
                  <c:v>-1.067853279781753E-4</c:v>
                </c:pt>
                <c:pt idx="9">
                  <c:v>-7.1121060229817985E-5</c:v>
                </c:pt>
                <c:pt idx="10">
                  <c:v>-5.2575506979843073E-5</c:v>
                </c:pt>
                <c:pt idx="11">
                  <c:v>-1.3401388779574273E-4</c:v>
                </c:pt>
                <c:pt idx="12">
                  <c:v>-1.2383409019375524E-4</c:v>
                </c:pt>
                <c:pt idx="13">
                  <c:v>-5.2575506979843073E-5</c:v>
                </c:pt>
                <c:pt idx="14">
                  <c:v>-1.0288771335031333E-4</c:v>
                </c:pt>
              </c:numCache>
            </c:numRef>
          </c:val>
          <c:extLst>
            <c:ext xmlns:c16="http://schemas.microsoft.com/office/drawing/2014/chart" uri="{C3380CC4-5D6E-409C-BE32-E72D297353CC}">
              <c16:uniqueId val="{00000001-72E9-426D-A5C3-9DC6E74FB49A}"/>
            </c:ext>
          </c:extLst>
        </c:ser>
        <c:ser>
          <c:idx val="2"/>
          <c:order val="2"/>
          <c:tx>
            <c:strRef>
              <c:f>FIGURES!$T$279</c:f>
              <c:strCache>
                <c:ptCount val="1"/>
                <c:pt idx="0">
                  <c:v>Capex costumization</c:v>
                </c:pt>
              </c:strCache>
            </c:strRef>
          </c:tx>
          <c:spPr>
            <a:solidFill>
              <a:schemeClr val="accent3"/>
            </a:solidFill>
            <a:ln>
              <a:noFill/>
            </a:ln>
            <a:effectLst/>
          </c:spPr>
          <c:invertIfNegative val="0"/>
          <c:cat>
            <c:multiLvlStrRef>
              <c:f>FIGURES!$P$280:$Q$294</c:f>
              <c:multiLvlStrCache>
                <c:ptCount val="15"/>
                <c:lvl>
                  <c:pt idx="0">
                    <c:v>Sea - Container - Heavy fuel oil</c:v>
                  </c:pt>
                  <c:pt idx="1">
                    <c:v>Sea - Container - Maritime gas oil</c:v>
                  </c:pt>
                  <c:pt idx="2">
                    <c:v>Sea - Container - Ammonia</c:v>
                  </c:pt>
                  <c:pt idx="3">
                    <c:v>Sea - Container - Hydrogen</c:v>
                  </c:pt>
                  <c:pt idx="4">
                    <c:v>Sea - Container - Methanol</c:v>
                  </c:pt>
                  <c:pt idx="5">
                    <c:v>Sea - Container - Heavy fuel oil</c:v>
                  </c:pt>
                  <c:pt idx="6">
                    <c:v>Sea - Container - Maritime gas oil</c:v>
                  </c:pt>
                  <c:pt idx="7">
                    <c:v>Sea - Container - Ammonia</c:v>
                  </c:pt>
                  <c:pt idx="8">
                    <c:v>Sea - Container - Hydrogen</c:v>
                  </c:pt>
                  <c:pt idx="9">
                    <c:v>Sea - Container - Methanol</c:v>
                  </c:pt>
                  <c:pt idx="10">
                    <c:v>Sea - Container - Heavy fuel oil</c:v>
                  </c:pt>
                  <c:pt idx="11">
                    <c:v>Sea - Container - Hydrogen</c:v>
                  </c:pt>
                  <c:pt idx="12">
                    <c:v>Sea - Container - Ammonia</c:v>
                  </c:pt>
                  <c:pt idx="13">
                    <c:v>Sea - Container - Maritime gas oil</c:v>
                  </c:pt>
                  <c:pt idx="14">
                    <c:v>Sea - Container - Methanol</c:v>
                  </c:pt>
                </c:lvl>
                <c:lvl>
                  <c:pt idx="0">
                    <c:v>2023</c:v>
                  </c:pt>
                  <c:pt idx="5">
                    <c:v>2034</c:v>
                  </c:pt>
                  <c:pt idx="10">
                    <c:v>2050</c:v>
                  </c:pt>
                </c:lvl>
              </c:multiLvlStrCache>
            </c:multiLvlStrRef>
          </c:cat>
          <c:val>
            <c:numRef>
              <c:f>FIGURES!$T$280:$T$294</c:f>
              <c:numCache>
                <c:formatCode>General</c:formatCode>
                <c:ptCount val="15"/>
                <c:pt idx="0">
                  <c:v>3.4491498329926784E-4</c:v>
                </c:pt>
                <c:pt idx="1">
                  <c:v>3.4491498329926784E-4</c:v>
                </c:pt>
                <c:pt idx="2">
                  <c:v>3.4491498329926784E-4</c:v>
                </c:pt>
                <c:pt idx="3">
                  <c:v>3.4491498329926784E-4</c:v>
                </c:pt>
                <c:pt idx="4">
                  <c:v>3.4491498329926784E-4</c:v>
                </c:pt>
                <c:pt idx="5">
                  <c:v>3.4491498329926784E-4</c:v>
                </c:pt>
                <c:pt idx="6">
                  <c:v>3.4491498329926784E-4</c:v>
                </c:pt>
                <c:pt idx="7">
                  <c:v>3.4491498329926784E-4</c:v>
                </c:pt>
                <c:pt idx="8">
                  <c:v>3.4491498329926784E-4</c:v>
                </c:pt>
                <c:pt idx="9">
                  <c:v>3.4491498329926784E-4</c:v>
                </c:pt>
                <c:pt idx="10">
                  <c:v>3.4491498329926784E-4</c:v>
                </c:pt>
                <c:pt idx="11">
                  <c:v>3.4491498329926784E-4</c:v>
                </c:pt>
                <c:pt idx="12">
                  <c:v>3.4491498329926784E-4</c:v>
                </c:pt>
                <c:pt idx="13">
                  <c:v>3.4491498329926784E-4</c:v>
                </c:pt>
                <c:pt idx="14">
                  <c:v>3.4491498329926784E-4</c:v>
                </c:pt>
              </c:numCache>
            </c:numRef>
          </c:val>
          <c:extLst>
            <c:ext xmlns:c16="http://schemas.microsoft.com/office/drawing/2014/chart" uri="{C3380CC4-5D6E-409C-BE32-E72D297353CC}">
              <c16:uniqueId val="{00000002-72E9-426D-A5C3-9DC6E74FB49A}"/>
            </c:ext>
          </c:extLst>
        </c:ser>
        <c:ser>
          <c:idx val="3"/>
          <c:order val="3"/>
          <c:tx>
            <c:strRef>
              <c:f>FIGURES!$U$279</c:f>
              <c:strCache>
                <c:ptCount val="1"/>
                <c:pt idx="0">
                  <c:v>Residual value (costumization)</c:v>
                </c:pt>
              </c:strCache>
            </c:strRef>
          </c:tx>
          <c:spPr>
            <a:solidFill>
              <a:schemeClr val="accent4"/>
            </a:solidFill>
            <a:ln>
              <a:noFill/>
            </a:ln>
            <a:effectLst/>
          </c:spPr>
          <c:invertIfNegative val="0"/>
          <c:cat>
            <c:multiLvlStrRef>
              <c:f>FIGURES!$P$280:$Q$294</c:f>
              <c:multiLvlStrCache>
                <c:ptCount val="15"/>
                <c:lvl>
                  <c:pt idx="0">
                    <c:v>Sea - Container - Heavy fuel oil</c:v>
                  </c:pt>
                  <c:pt idx="1">
                    <c:v>Sea - Container - Maritime gas oil</c:v>
                  </c:pt>
                  <c:pt idx="2">
                    <c:v>Sea - Container - Ammonia</c:v>
                  </c:pt>
                  <c:pt idx="3">
                    <c:v>Sea - Container - Hydrogen</c:v>
                  </c:pt>
                  <c:pt idx="4">
                    <c:v>Sea - Container - Methanol</c:v>
                  </c:pt>
                  <c:pt idx="5">
                    <c:v>Sea - Container - Heavy fuel oil</c:v>
                  </c:pt>
                  <c:pt idx="6">
                    <c:v>Sea - Container - Maritime gas oil</c:v>
                  </c:pt>
                  <c:pt idx="7">
                    <c:v>Sea - Container - Ammonia</c:v>
                  </c:pt>
                  <c:pt idx="8">
                    <c:v>Sea - Container - Hydrogen</c:v>
                  </c:pt>
                  <c:pt idx="9">
                    <c:v>Sea - Container - Methanol</c:v>
                  </c:pt>
                  <c:pt idx="10">
                    <c:v>Sea - Container - Heavy fuel oil</c:v>
                  </c:pt>
                  <c:pt idx="11">
                    <c:v>Sea - Container - Hydrogen</c:v>
                  </c:pt>
                  <c:pt idx="12">
                    <c:v>Sea - Container - Ammonia</c:v>
                  </c:pt>
                  <c:pt idx="13">
                    <c:v>Sea - Container - Maritime gas oil</c:v>
                  </c:pt>
                  <c:pt idx="14">
                    <c:v>Sea - Container - Methanol</c:v>
                  </c:pt>
                </c:lvl>
                <c:lvl>
                  <c:pt idx="0">
                    <c:v>2023</c:v>
                  </c:pt>
                  <c:pt idx="5">
                    <c:v>2034</c:v>
                  </c:pt>
                  <c:pt idx="10">
                    <c:v>2050</c:v>
                  </c:pt>
                </c:lvl>
              </c:multiLvlStrCache>
            </c:multiLvlStrRef>
          </c:cat>
          <c:val>
            <c:numRef>
              <c:f>FIGURES!$U$280:$U$294</c:f>
              <c:numCache>
                <c:formatCode>General</c:formatCode>
                <c:ptCount val="15"/>
                <c:pt idx="0">
                  <c:v>-3.4491498329926788E-5</c:v>
                </c:pt>
                <c:pt idx="1">
                  <c:v>-3.4491498329926788E-5</c:v>
                </c:pt>
                <c:pt idx="2">
                  <c:v>-3.4491498329926788E-5</c:v>
                </c:pt>
                <c:pt idx="3">
                  <c:v>-3.4491498329926788E-5</c:v>
                </c:pt>
                <c:pt idx="4">
                  <c:v>-3.4491498329926788E-5</c:v>
                </c:pt>
                <c:pt idx="5">
                  <c:v>-3.4491498329926788E-5</c:v>
                </c:pt>
                <c:pt idx="6">
                  <c:v>-3.4491498329926788E-5</c:v>
                </c:pt>
                <c:pt idx="7">
                  <c:v>-3.4491498329926788E-5</c:v>
                </c:pt>
                <c:pt idx="8">
                  <c:v>-3.4491498329926788E-5</c:v>
                </c:pt>
                <c:pt idx="9">
                  <c:v>-3.4491498329926788E-5</c:v>
                </c:pt>
                <c:pt idx="10">
                  <c:v>-3.4491498329926788E-5</c:v>
                </c:pt>
                <c:pt idx="11">
                  <c:v>-3.4491498329926788E-5</c:v>
                </c:pt>
                <c:pt idx="12">
                  <c:v>-3.4491498329926788E-5</c:v>
                </c:pt>
                <c:pt idx="13">
                  <c:v>-3.4491498329926788E-5</c:v>
                </c:pt>
                <c:pt idx="14">
                  <c:v>-3.4491498329926788E-5</c:v>
                </c:pt>
              </c:numCache>
            </c:numRef>
          </c:val>
          <c:extLst>
            <c:ext xmlns:c16="http://schemas.microsoft.com/office/drawing/2014/chart" uri="{C3380CC4-5D6E-409C-BE32-E72D297353CC}">
              <c16:uniqueId val="{00000003-72E9-426D-A5C3-9DC6E74FB49A}"/>
            </c:ext>
          </c:extLst>
        </c:ser>
        <c:ser>
          <c:idx val="4"/>
          <c:order val="4"/>
          <c:tx>
            <c:strRef>
              <c:f>FIGURES!$V$279</c:f>
              <c:strCache>
                <c:ptCount val="1"/>
                <c:pt idx="0">
                  <c:v>Opex fix (admin, crew, insurance)</c:v>
                </c:pt>
              </c:strCache>
            </c:strRef>
          </c:tx>
          <c:spPr>
            <a:solidFill>
              <a:schemeClr val="accent5"/>
            </a:solidFill>
            <a:ln>
              <a:noFill/>
            </a:ln>
            <a:effectLst/>
          </c:spPr>
          <c:invertIfNegative val="0"/>
          <c:cat>
            <c:multiLvlStrRef>
              <c:f>FIGURES!$P$280:$Q$294</c:f>
              <c:multiLvlStrCache>
                <c:ptCount val="15"/>
                <c:lvl>
                  <c:pt idx="0">
                    <c:v>Sea - Container - Heavy fuel oil</c:v>
                  </c:pt>
                  <c:pt idx="1">
                    <c:v>Sea - Container - Maritime gas oil</c:v>
                  </c:pt>
                  <c:pt idx="2">
                    <c:v>Sea - Container - Ammonia</c:v>
                  </c:pt>
                  <c:pt idx="3">
                    <c:v>Sea - Container - Hydrogen</c:v>
                  </c:pt>
                  <c:pt idx="4">
                    <c:v>Sea - Container - Methanol</c:v>
                  </c:pt>
                  <c:pt idx="5">
                    <c:v>Sea - Container - Heavy fuel oil</c:v>
                  </c:pt>
                  <c:pt idx="6">
                    <c:v>Sea - Container - Maritime gas oil</c:v>
                  </c:pt>
                  <c:pt idx="7">
                    <c:v>Sea - Container - Ammonia</c:v>
                  </c:pt>
                  <c:pt idx="8">
                    <c:v>Sea - Container - Hydrogen</c:v>
                  </c:pt>
                  <c:pt idx="9">
                    <c:v>Sea - Container - Methanol</c:v>
                  </c:pt>
                  <c:pt idx="10">
                    <c:v>Sea - Container - Heavy fuel oil</c:v>
                  </c:pt>
                  <c:pt idx="11">
                    <c:v>Sea - Container - Hydrogen</c:v>
                  </c:pt>
                  <c:pt idx="12">
                    <c:v>Sea - Container - Ammonia</c:v>
                  </c:pt>
                  <c:pt idx="13">
                    <c:v>Sea - Container - Maritime gas oil</c:v>
                  </c:pt>
                  <c:pt idx="14">
                    <c:v>Sea - Container - Methanol</c:v>
                  </c:pt>
                </c:lvl>
                <c:lvl>
                  <c:pt idx="0">
                    <c:v>2023</c:v>
                  </c:pt>
                  <c:pt idx="5">
                    <c:v>2034</c:v>
                  </c:pt>
                  <c:pt idx="10">
                    <c:v>2050</c:v>
                  </c:pt>
                </c:lvl>
              </c:multiLvlStrCache>
            </c:multiLvlStrRef>
          </c:cat>
          <c:val>
            <c:numRef>
              <c:f>FIGURES!$V$280:$V$294</c:f>
              <c:numCache>
                <c:formatCode>General</c:formatCode>
                <c:ptCount val="15"/>
                <c:pt idx="0">
                  <c:v>1.0654632223259673E-3</c:v>
                </c:pt>
                <c:pt idx="1">
                  <c:v>1.0654632223259673E-3</c:v>
                </c:pt>
                <c:pt idx="2">
                  <c:v>1.0654632223259673E-3</c:v>
                </c:pt>
                <c:pt idx="3">
                  <c:v>1.0654632223259673E-3</c:v>
                </c:pt>
                <c:pt idx="4">
                  <c:v>1.0654632223259673E-3</c:v>
                </c:pt>
                <c:pt idx="5">
                  <c:v>1.0654632223259673E-3</c:v>
                </c:pt>
                <c:pt idx="6">
                  <c:v>1.0654632223259673E-3</c:v>
                </c:pt>
                <c:pt idx="7">
                  <c:v>1.0654632223259673E-3</c:v>
                </c:pt>
                <c:pt idx="8">
                  <c:v>1.0654632223259673E-3</c:v>
                </c:pt>
                <c:pt idx="9">
                  <c:v>1.0654632223259673E-3</c:v>
                </c:pt>
                <c:pt idx="10">
                  <c:v>1.0654632223259673E-3</c:v>
                </c:pt>
                <c:pt idx="11">
                  <c:v>1.0654632223259673E-3</c:v>
                </c:pt>
                <c:pt idx="12">
                  <c:v>1.0654632223259673E-3</c:v>
                </c:pt>
                <c:pt idx="13">
                  <c:v>1.0654632223259673E-3</c:v>
                </c:pt>
                <c:pt idx="14">
                  <c:v>1.0654632223259673E-3</c:v>
                </c:pt>
              </c:numCache>
            </c:numRef>
          </c:val>
          <c:extLst>
            <c:ext xmlns:c16="http://schemas.microsoft.com/office/drawing/2014/chart" uri="{C3380CC4-5D6E-409C-BE32-E72D297353CC}">
              <c16:uniqueId val="{00000004-72E9-426D-A5C3-9DC6E74FB49A}"/>
            </c:ext>
          </c:extLst>
        </c:ser>
        <c:ser>
          <c:idx val="5"/>
          <c:order val="5"/>
          <c:tx>
            <c:strRef>
              <c:f>FIGURES!$W$279</c:f>
              <c:strCache>
                <c:ptCount val="1"/>
                <c:pt idx="0">
                  <c:v>Opex maintenance &amp; repair</c:v>
                </c:pt>
              </c:strCache>
            </c:strRef>
          </c:tx>
          <c:spPr>
            <a:solidFill>
              <a:schemeClr val="accent6"/>
            </a:solidFill>
            <a:ln>
              <a:noFill/>
            </a:ln>
            <a:effectLst/>
          </c:spPr>
          <c:invertIfNegative val="0"/>
          <c:cat>
            <c:multiLvlStrRef>
              <c:f>FIGURES!$P$280:$Q$294</c:f>
              <c:multiLvlStrCache>
                <c:ptCount val="15"/>
                <c:lvl>
                  <c:pt idx="0">
                    <c:v>Sea - Container - Heavy fuel oil</c:v>
                  </c:pt>
                  <c:pt idx="1">
                    <c:v>Sea - Container - Maritime gas oil</c:v>
                  </c:pt>
                  <c:pt idx="2">
                    <c:v>Sea - Container - Ammonia</c:v>
                  </c:pt>
                  <c:pt idx="3">
                    <c:v>Sea - Container - Hydrogen</c:v>
                  </c:pt>
                  <c:pt idx="4">
                    <c:v>Sea - Container - Methanol</c:v>
                  </c:pt>
                  <c:pt idx="5">
                    <c:v>Sea - Container - Heavy fuel oil</c:v>
                  </c:pt>
                  <c:pt idx="6">
                    <c:v>Sea - Container - Maritime gas oil</c:v>
                  </c:pt>
                  <c:pt idx="7">
                    <c:v>Sea - Container - Ammonia</c:v>
                  </c:pt>
                  <c:pt idx="8">
                    <c:v>Sea - Container - Hydrogen</c:v>
                  </c:pt>
                  <c:pt idx="9">
                    <c:v>Sea - Container - Methanol</c:v>
                  </c:pt>
                  <c:pt idx="10">
                    <c:v>Sea - Container - Heavy fuel oil</c:v>
                  </c:pt>
                  <c:pt idx="11">
                    <c:v>Sea - Container - Hydrogen</c:v>
                  </c:pt>
                  <c:pt idx="12">
                    <c:v>Sea - Container - Ammonia</c:v>
                  </c:pt>
                  <c:pt idx="13">
                    <c:v>Sea - Container - Maritime gas oil</c:v>
                  </c:pt>
                  <c:pt idx="14">
                    <c:v>Sea - Container - Methanol</c:v>
                  </c:pt>
                </c:lvl>
                <c:lvl>
                  <c:pt idx="0">
                    <c:v>2023</c:v>
                  </c:pt>
                  <c:pt idx="5">
                    <c:v>2034</c:v>
                  </c:pt>
                  <c:pt idx="10">
                    <c:v>2050</c:v>
                  </c:pt>
                </c:lvl>
              </c:multiLvlStrCache>
            </c:multiLvlStrRef>
          </c:cat>
          <c:val>
            <c:numRef>
              <c:f>FIGURES!$W$280:$W$294</c:f>
              <c:numCache>
                <c:formatCode>General</c:formatCode>
                <c:ptCount val="15"/>
                <c:pt idx="0">
                  <c:v>4.305425874053325E-4</c:v>
                </c:pt>
                <c:pt idx="1">
                  <c:v>4.305425874053325E-4</c:v>
                </c:pt>
                <c:pt idx="2">
                  <c:v>2.9878618113912231E-4</c:v>
                </c:pt>
                <c:pt idx="3">
                  <c:v>2.9878618113912231E-4</c:v>
                </c:pt>
                <c:pt idx="4">
                  <c:v>4.305425874053325E-4</c:v>
                </c:pt>
                <c:pt idx="5">
                  <c:v>4.305425874053325E-4</c:v>
                </c:pt>
                <c:pt idx="6">
                  <c:v>4.305425874053325E-4</c:v>
                </c:pt>
                <c:pt idx="7">
                  <c:v>2.9878618113912231E-4</c:v>
                </c:pt>
                <c:pt idx="8">
                  <c:v>2.9878618113912231E-4</c:v>
                </c:pt>
                <c:pt idx="9">
                  <c:v>4.305425874053325E-4</c:v>
                </c:pt>
                <c:pt idx="10">
                  <c:v>4.305425874053325E-4</c:v>
                </c:pt>
                <c:pt idx="11">
                  <c:v>2.9878618113912231E-4</c:v>
                </c:pt>
                <c:pt idx="12">
                  <c:v>2.9878618113912231E-4</c:v>
                </c:pt>
                <c:pt idx="13">
                  <c:v>4.305425874053325E-4</c:v>
                </c:pt>
                <c:pt idx="14">
                  <c:v>4.305425874053325E-4</c:v>
                </c:pt>
              </c:numCache>
            </c:numRef>
          </c:val>
          <c:extLst>
            <c:ext xmlns:c16="http://schemas.microsoft.com/office/drawing/2014/chart" uri="{C3380CC4-5D6E-409C-BE32-E72D297353CC}">
              <c16:uniqueId val="{00000005-72E9-426D-A5C3-9DC6E74FB49A}"/>
            </c:ext>
          </c:extLst>
        </c:ser>
        <c:ser>
          <c:idx val="6"/>
          <c:order val="6"/>
          <c:tx>
            <c:strRef>
              <c:f>FIGURES!$X$279</c:f>
              <c:strCache>
                <c:ptCount val="1"/>
                <c:pt idx="0">
                  <c:v>Opex var (mode-fees)</c:v>
                </c:pt>
              </c:strCache>
            </c:strRef>
          </c:tx>
          <c:spPr>
            <a:solidFill>
              <a:schemeClr val="accent1">
                <a:lumMod val="60000"/>
              </a:schemeClr>
            </a:solidFill>
            <a:ln>
              <a:noFill/>
            </a:ln>
            <a:effectLst/>
          </c:spPr>
          <c:invertIfNegative val="0"/>
          <c:cat>
            <c:multiLvlStrRef>
              <c:f>FIGURES!$P$280:$Q$294</c:f>
              <c:multiLvlStrCache>
                <c:ptCount val="15"/>
                <c:lvl>
                  <c:pt idx="0">
                    <c:v>Sea - Container - Heavy fuel oil</c:v>
                  </c:pt>
                  <c:pt idx="1">
                    <c:v>Sea - Container - Maritime gas oil</c:v>
                  </c:pt>
                  <c:pt idx="2">
                    <c:v>Sea - Container - Ammonia</c:v>
                  </c:pt>
                  <c:pt idx="3">
                    <c:v>Sea - Container - Hydrogen</c:v>
                  </c:pt>
                  <c:pt idx="4">
                    <c:v>Sea - Container - Methanol</c:v>
                  </c:pt>
                  <c:pt idx="5">
                    <c:v>Sea - Container - Heavy fuel oil</c:v>
                  </c:pt>
                  <c:pt idx="6">
                    <c:v>Sea - Container - Maritime gas oil</c:v>
                  </c:pt>
                  <c:pt idx="7">
                    <c:v>Sea - Container - Ammonia</c:v>
                  </c:pt>
                  <c:pt idx="8">
                    <c:v>Sea - Container - Hydrogen</c:v>
                  </c:pt>
                  <c:pt idx="9">
                    <c:v>Sea - Container - Methanol</c:v>
                  </c:pt>
                  <c:pt idx="10">
                    <c:v>Sea - Container - Heavy fuel oil</c:v>
                  </c:pt>
                  <c:pt idx="11">
                    <c:v>Sea - Container - Hydrogen</c:v>
                  </c:pt>
                  <c:pt idx="12">
                    <c:v>Sea - Container - Ammonia</c:v>
                  </c:pt>
                  <c:pt idx="13">
                    <c:v>Sea - Container - Maritime gas oil</c:v>
                  </c:pt>
                  <c:pt idx="14">
                    <c:v>Sea - Container - Methanol</c:v>
                  </c:pt>
                </c:lvl>
                <c:lvl>
                  <c:pt idx="0">
                    <c:v>2023</c:v>
                  </c:pt>
                  <c:pt idx="5">
                    <c:v>2034</c:v>
                  </c:pt>
                  <c:pt idx="10">
                    <c:v>2050</c:v>
                  </c:pt>
                </c:lvl>
              </c:multiLvlStrCache>
            </c:multiLvlStrRef>
          </c:cat>
          <c:val>
            <c:numRef>
              <c:f>FIGURES!$X$280:$X$294</c:f>
              <c:numCache>
                <c:formatCode>General</c:formatCode>
                <c:ptCount val="15"/>
                <c:pt idx="0">
                  <c:v>1.7869725535414797E-4</c:v>
                </c:pt>
                <c:pt idx="1">
                  <c:v>1.7869725535414797E-4</c:v>
                </c:pt>
                <c:pt idx="2">
                  <c:v>1.7869725535414797E-4</c:v>
                </c:pt>
                <c:pt idx="3">
                  <c:v>1.7869725535414797E-4</c:v>
                </c:pt>
                <c:pt idx="4">
                  <c:v>1.7869725535414797E-4</c:v>
                </c:pt>
                <c:pt idx="5">
                  <c:v>1.7869725535414797E-4</c:v>
                </c:pt>
                <c:pt idx="6">
                  <c:v>1.7869725535414797E-4</c:v>
                </c:pt>
                <c:pt idx="7">
                  <c:v>1.7869725535414797E-4</c:v>
                </c:pt>
                <c:pt idx="8">
                  <c:v>1.7869725535414797E-4</c:v>
                </c:pt>
                <c:pt idx="9">
                  <c:v>1.7869725535414797E-4</c:v>
                </c:pt>
                <c:pt idx="10">
                  <c:v>1.7869725535414797E-4</c:v>
                </c:pt>
                <c:pt idx="11">
                  <c:v>1.7869725535414797E-4</c:v>
                </c:pt>
                <c:pt idx="12">
                  <c:v>1.7869725535414797E-4</c:v>
                </c:pt>
                <c:pt idx="13">
                  <c:v>1.7869725535414797E-4</c:v>
                </c:pt>
                <c:pt idx="14">
                  <c:v>1.7869725535414797E-4</c:v>
                </c:pt>
              </c:numCache>
            </c:numRef>
          </c:val>
          <c:extLst>
            <c:ext xmlns:c16="http://schemas.microsoft.com/office/drawing/2014/chart" uri="{C3380CC4-5D6E-409C-BE32-E72D297353CC}">
              <c16:uniqueId val="{00000006-72E9-426D-A5C3-9DC6E74FB49A}"/>
            </c:ext>
          </c:extLst>
        </c:ser>
        <c:ser>
          <c:idx val="7"/>
          <c:order val="7"/>
          <c:tx>
            <c:strRef>
              <c:f>FIGURES!$Y$279</c:f>
              <c:strCache>
                <c:ptCount val="1"/>
                <c:pt idx="0">
                  <c:v>Fuel Cost</c:v>
                </c:pt>
              </c:strCache>
            </c:strRef>
          </c:tx>
          <c:spPr>
            <a:solidFill>
              <a:schemeClr val="accent2">
                <a:lumMod val="60000"/>
              </a:schemeClr>
            </a:solidFill>
            <a:ln>
              <a:noFill/>
            </a:ln>
            <a:effectLst/>
          </c:spPr>
          <c:invertIfNegative val="0"/>
          <c:cat>
            <c:multiLvlStrRef>
              <c:f>FIGURES!$P$280:$Q$294</c:f>
              <c:multiLvlStrCache>
                <c:ptCount val="15"/>
                <c:lvl>
                  <c:pt idx="0">
                    <c:v>Sea - Container - Heavy fuel oil</c:v>
                  </c:pt>
                  <c:pt idx="1">
                    <c:v>Sea - Container - Maritime gas oil</c:v>
                  </c:pt>
                  <c:pt idx="2">
                    <c:v>Sea - Container - Ammonia</c:v>
                  </c:pt>
                  <c:pt idx="3">
                    <c:v>Sea - Container - Hydrogen</c:v>
                  </c:pt>
                  <c:pt idx="4">
                    <c:v>Sea - Container - Methanol</c:v>
                  </c:pt>
                  <c:pt idx="5">
                    <c:v>Sea - Container - Heavy fuel oil</c:v>
                  </c:pt>
                  <c:pt idx="6">
                    <c:v>Sea - Container - Maritime gas oil</c:v>
                  </c:pt>
                  <c:pt idx="7">
                    <c:v>Sea - Container - Ammonia</c:v>
                  </c:pt>
                  <c:pt idx="8">
                    <c:v>Sea - Container - Hydrogen</c:v>
                  </c:pt>
                  <c:pt idx="9">
                    <c:v>Sea - Container - Methanol</c:v>
                  </c:pt>
                  <c:pt idx="10">
                    <c:v>Sea - Container - Heavy fuel oil</c:v>
                  </c:pt>
                  <c:pt idx="11">
                    <c:v>Sea - Container - Hydrogen</c:v>
                  </c:pt>
                  <c:pt idx="12">
                    <c:v>Sea - Container - Ammonia</c:v>
                  </c:pt>
                  <c:pt idx="13">
                    <c:v>Sea - Container - Maritime gas oil</c:v>
                  </c:pt>
                  <c:pt idx="14">
                    <c:v>Sea - Container - Methanol</c:v>
                  </c:pt>
                </c:lvl>
                <c:lvl>
                  <c:pt idx="0">
                    <c:v>2023</c:v>
                  </c:pt>
                  <c:pt idx="5">
                    <c:v>2034</c:v>
                  </c:pt>
                  <c:pt idx="10">
                    <c:v>2050</c:v>
                  </c:pt>
                </c:lvl>
              </c:multiLvlStrCache>
            </c:multiLvlStrRef>
          </c:cat>
          <c:val>
            <c:numRef>
              <c:f>FIGURES!$Y$280:$Y$294</c:f>
              <c:numCache>
                <c:formatCode>General</c:formatCode>
                <c:ptCount val="15"/>
                <c:pt idx="0">
                  <c:v>2.0608228308229173E-3</c:v>
                </c:pt>
                <c:pt idx="1">
                  <c:v>4.5972662777521807E-3</c:v>
                </c:pt>
                <c:pt idx="2">
                  <c:v>1.1281068013309969E-2</c:v>
                </c:pt>
                <c:pt idx="3">
                  <c:v>1.2272875676237464E-2</c:v>
                </c:pt>
                <c:pt idx="4">
                  <c:v>2.4929435480202329E-2</c:v>
                </c:pt>
                <c:pt idx="5">
                  <c:v>1.838708050759685E-3</c:v>
                </c:pt>
                <c:pt idx="6">
                  <c:v>4.1017744902474345E-3</c:v>
                </c:pt>
                <c:pt idx="7">
                  <c:v>1.0257993776547255E-2</c:v>
                </c:pt>
                <c:pt idx="8">
                  <c:v>1.0358284649412651E-2</c:v>
                </c:pt>
                <c:pt idx="9">
                  <c:v>1.6567975451505536E-2</c:v>
                </c:pt>
                <c:pt idx="10">
                  <c:v>1.6880924837231871E-3</c:v>
                </c:pt>
                <c:pt idx="11">
                  <c:v>6.5156977611726787E-3</c:v>
                </c:pt>
                <c:pt idx="12">
                  <c:v>6.8423242323661987E-3</c:v>
                </c:pt>
                <c:pt idx="13">
                  <c:v>3.7657825471821881E-3</c:v>
                </c:pt>
                <c:pt idx="14">
                  <c:v>9.7494494830798577E-3</c:v>
                </c:pt>
              </c:numCache>
            </c:numRef>
          </c:val>
          <c:extLst>
            <c:ext xmlns:c16="http://schemas.microsoft.com/office/drawing/2014/chart" uri="{C3380CC4-5D6E-409C-BE32-E72D297353CC}">
              <c16:uniqueId val="{00000007-72E9-426D-A5C3-9DC6E74FB49A}"/>
            </c:ext>
          </c:extLst>
        </c:ser>
        <c:ser>
          <c:idx val="8"/>
          <c:order val="8"/>
          <c:tx>
            <c:strRef>
              <c:f>FIGURES!$Z$279</c:f>
              <c:strCache>
                <c:ptCount val="1"/>
                <c:pt idx="0">
                  <c:v>Market failure (av. utilization)</c:v>
                </c:pt>
              </c:strCache>
            </c:strRef>
          </c:tx>
          <c:spPr>
            <a:solidFill>
              <a:schemeClr val="accent3">
                <a:lumMod val="60000"/>
              </a:schemeClr>
            </a:solidFill>
            <a:ln>
              <a:noFill/>
            </a:ln>
            <a:effectLst/>
          </c:spPr>
          <c:invertIfNegative val="0"/>
          <c:cat>
            <c:multiLvlStrRef>
              <c:f>FIGURES!$P$280:$Q$294</c:f>
              <c:multiLvlStrCache>
                <c:ptCount val="15"/>
                <c:lvl>
                  <c:pt idx="0">
                    <c:v>Sea - Container - Heavy fuel oil</c:v>
                  </c:pt>
                  <c:pt idx="1">
                    <c:v>Sea - Container - Maritime gas oil</c:v>
                  </c:pt>
                  <c:pt idx="2">
                    <c:v>Sea - Container - Ammonia</c:v>
                  </c:pt>
                  <c:pt idx="3">
                    <c:v>Sea - Container - Hydrogen</c:v>
                  </c:pt>
                  <c:pt idx="4">
                    <c:v>Sea - Container - Methanol</c:v>
                  </c:pt>
                  <c:pt idx="5">
                    <c:v>Sea - Container - Heavy fuel oil</c:v>
                  </c:pt>
                  <c:pt idx="6">
                    <c:v>Sea - Container - Maritime gas oil</c:v>
                  </c:pt>
                  <c:pt idx="7">
                    <c:v>Sea - Container - Ammonia</c:v>
                  </c:pt>
                  <c:pt idx="8">
                    <c:v>Sea - Container - Hydrogen</c:v>
                  </c:pt>
                  <c:pt idx="9">
                    <c:v>Sea - Container - Methanol</c:v>
                  </c:pt>
                  <c:pt idx="10">
                    <c:v>Sea - Container - Heavy fuel oil</c:v>
                  </c:pt>
                  <c:pt idx="11">
                    <c:v>Sea - Container - Hydrogen</c:v>
                  </c:pt>
                  <c:pt idx="12">
                    <c:v>Sea - Container - Ammonia</c:v>
                  </c:pt>
                  <c:pt idx="13">
                    <c:v>Sea - Container - Maritime gas oil</c:v>
                  </c:pt>
                  <c:pt idx="14">
                    <c:v>Sea - Container - Methanol</c:v>
                  </c:pt>
                </c:lvl>
                <c:lvl>
                  <c:pt idx="0">
                    <c:v>2023</c:v>
                  </c:pt>
                  <c:pt idx="5">
                    <c:v>2034</c:v>
                  </c:pt>
                  <c:pt idx="10">
                    <c:v>2050</c:v>
                  </c:pt>
                </c:lvl>
              </c:multiLvlStrCache>
            </c:multiLvlStrRef>
          </c:cat>
          <c:val>
            <c:numRef>
              <c:f>FIGURES!$Z$280:$Z$294</c:f>
              <c:numCache>
                <c:formatCode>General</c:formatCode>
                <c:ptCount val="15"/>
                <c:pt idx="0">
                  <c:v>5.1168445173227313E-3</c:v>
                </c:pt>
                <c:pt idx="1">
                  <c:v>6.934951781538197E-3</c:v>
                </c:pt>
                <c:pt idx="2">
                  <c:v>1.1471848924667526E-2</c:v>
                </c:pt>
                <c:pt idx="3">
                  <c:v>1.2206612204370044E-2</c:v>
                </c:pt>
                <c:pt idx="4">
                  <c:v>2.1265221188037118E-2</c:v>
                </c:pt>
                <c:pt idx="5">
                  <c:v>6.6843328246636025E-3</c:v>
                </c:pt>
                <c:pt idx="6">
                  <c:v>8.2107730306840102E-3</c:v>
                </c:pt>
                <c:pt idx="7">
                  <c:v>1.0705383345754259E-2</c:v>
                </c:pt>
                <c:pt idx="8">
                  <c:v>1.0782783553652911E-2</c:v>
                </c:pt>
                <c:pt idx="9">
                  <c:v>1.5093033693524077E-2</c:v>
                </c:pt>
                <c:pt idx="10">
                  <c:v>6.4766025942449342E-3</c:v>
                </c:pt>
                <c:pt idx="11">
                  <c:v>7.1904931373954553E-3</c:v>
                </c:pt>
                <c:pt idx="12">
                  <c:v>7.3654014063933224E-3</c:v>
                </c:pt>
                <c:pt idx="13">
                  <c:v>7.8716927667052683E-3</c:v>
                </c:pt>
                <c:pt idx="14">
                  <c:v>9.4824983061085784E-3</c:v>
                </c:pt>
              </c:numCache>
            </c:numRef>
          </c:val>
          <c:extLst>
            <c:ext xmlns:c16="http://schemas.microsoft.com/office/drawing/2014/chart" uri="{C3380CC4-5D6E-409C-BE32-E72D297353CC}">
              <c16:uniqueId val="{00000008-72E9-426D-A5C3-9DC6E74FB49A}"/>
            </c:ext>
          </c:extLst>
        </c:ser>
        <c:ser>
          <c:idx val="9"/>
          <c:order val="9"/>
          <c:tx>
            <c:strRef>
              <c:f>FIGURES!$AA$279</c:f>
              <c:strCache>
                <c:ptCount val="1"/>
                <c:pt idx="0">
                  <c:v>Payload loss (fuel)</c:v>
                </c:pt>
              </c:strCache>
            </c:strRef>
          </c:tx>
          <c:spPr>
            <a:solidFill>
              <a:schemeClr val="accent4">
                <a:lumMod val="60000"/>
              </a:schemeClr>
            </a:solidFill>
            <a:ln>
              <a:noFill/>
            </a:ln>
            <a:effectLst/>
          </c:spPr>
          <c:invertIfNegative val="0"/>
          <c:cat>
            <c:multiLvlStrRef>
              <c:f>FIGURES!$P$280:$Q$294</c:f>
              <c:multiLvlStrCache>
                <c:ptCount val="15"/>
                <c:lvl>
                  <c:pt idx="0">
                    <c:v>Sea - Container - Heavy fuel oil</c:v>
                  </c:pt>
                  <c:pt idx="1">
                    <c:v>Sea - Container - Maritime gas oil</c:v>
                  </c:pt>
                  <c:pt idx="2">
                    <c:v>Sea - Container - Ammonia</c:v>
                  </c:pt>
                  <c:pt idx="3">
                    <c:v>Sea - Container - Hydrogen</c:v>
                  </c:pt>
                  <c:pt idx="4">
                    <c:v>Sea - Container - Methanol</c:v>
                  </c:pt>
                  <c:pt idx="5">
                    <c:v>Sea - Container - Heavy fuel oil</c:v>
                  </c:pt>
                  <c:pt idx="6">
                    <c:v>Sea - Container - Maritime gas oil</c:v>
                  </c:pt>
                  <c:pt idx="7">
                    <c:v>Sea - Container - Ammonia</c:v>
                  </c:pt>
                  <c:pt idx="8">
                    <c:v>Sea - Container - Hydrogen</c:v>
                  </c:pt>
                  <c:pt idx="9">
                    <c:v>Sea - Container - Methanol</c:v>
                  </c:pt>
                  <c:pt idx="10">
                    <c:v>Sea - Container - Heavy fuel oil</c:v>
                  </c:pt>
                  <c:pt idx="11">
                    <c:v>Sea - Container - Hydrogen</c:v>
                  </c:pt>
                  <c:pt idx="12">
                    <c:v>Sea - Container - Ammonia</c:v>
                  </c:pt>
                  <c:pt idx="13">
                    <c:v>Sea - Container - Maritime gas oil</c:v>
                  </c:pt>
                  <c:pt idx="14">
                    <c:v>Sea - Container - Methanol</c:v>
                  </c:pt>
                </c:lvl>
                <c:lvl>
                  <c:pt idx="0">
                    <c:v>2023</c:v>
                  </c:pt>
                  <c:pt idx="5">
                    <c:v>2034</c:v>
                  </c:pt>
                  <c:pt idx="10">
                    <c:v>2050</c:v>
                  </c:pt>
                </c:lvl>
              </c:multiLvlStrCache>
            </c:multiLvlStrRef>
          </c:cat>
          <c:val>
            <c:numRef>
              <c:f>FIGURES!$AA$280:$AA$294</c:f>
              <c:numCache>
                <c:formatCode>General</c:formatCode>
                <c:ptCount val="15"/>
                <c:pt idx="0">
                  <c:v>0</c:v>
                </c:pt>
                <c:pt idx="1">
                  <c:v>0</c:v>
                </c:pt>
                <c:pt idx="2">
                  <c:v>1.3400606185818564E-3</c:v>
                </c:pt>
                <c:pt idx="3">
                  <c:v>1.8216255696068655E-3</c:v>
                </c:pt>
                <c:pt idx="4">
                  <c:v>1.1906308738093702E-3</c:v>
                </c:pt>
                <c:pt idx="5">
                  <c:v>0</c:v>
                </c:pt>
                <c:pt idx="6">
                  <c:v>0</c:v>
                </c:pt>
                <c:pt idx="7">
                  <c:v>1.2327946859695196E-3</c:v>
                </c:pt>
                <c:pt idx="8">
                  <c:v>1.5718624642608366E-3</c:v>
                </c:pt>
                <c:pt idx="9">
                  <c:v>8.4505266773637205E-4</c:v>
                </c:pt>
                <c:pt idx="10">
                  <c:v>0</c:v>
                </c:pt>
                <c:pt idx="11">
                  <c:v>8.438939851007736E-4</c:v>
                </c:pt>
                <c:pt idx="12">
                  <c:v>7.4680929840831821E-4</c:v>
                </c:pt>
                <c:pt idx="13">
                  <c:v>0</c:v>
                </c:pt>
                <c:pt idx="14">
                  <c:v>5.3092112911805843E-4</c:v>
                </c:pt>
              </c:numCache>
            </c:numRef>
          </c:val>
          <c:extLst>
            <c:ext xmlns:c16="http://schemas.microsoft.com/office/drawing/2014/chart" uri="{C3380CC4-5D6E-409C-BE32-E72D297353CC}">
              <c16:uniqueId val="{00000009-72E9-426D-A5C3-9DC6E74FB49A}"/>
            </c:ext>
          </c:extLst>
        </c:ser>
        <c:ser>
          <c:idx val="10"/>
          <c:order val="10"/>
          <c:tx>
            <c:strRef>
              <c:f>FIGURES!$AB$279</c:f>
              <c:strCache>
                <c:ptCount val="1"/>
                <c:pt idx="0">
                  <c:v>Emission Cost</c:v>
                </c:pt>
              </c:strCache>
            </c:strRef>
          </c:tx>
          <c:spPr>
            <a:solidFill>
              <a:schemeClr val="accent5">
                <a:lumMod val="60000"/>
              </a:schemeClr>
            </a:solidFill>
            <a:ln>
              <a:noFill/>
            </a:ln>
            <a:effectLst/>
          </c:spPr>
          <c:invertIfNegative val="0"/>
          <c:errBars>
            <c:errBarType val="both"/>
            <c:errValType val="cust"/>
            <c:noEndCap val="0"/>
            <c:plus>
              <c:numRef>
                <c:f>FIGURES!$AT$352:$AT$366</c:f>
                <c:numCache>
                  <c:formatCode>General</c:formatCode>
                  <c:ptCount val="15"/>
                  <c:pt idx="0">
                    <c:v>1.2605433374408143E-4</c:v>
                  </c:pt>
                  <c:pt idx="1">
                    <c:v>2.8120094994035089E-4</c:v>
                  </c:pt>
                  <c:pt idx="2">
                    <c:v>2.6336173351353305E-3</c:v>
                  </c:pt>
                  <c:pt idx="3">
                    <c:v>2.364275001625428E-3</c:v>
                  </c:pt>
                  <c:pt idx="4">
                    <c:v>3.1252583175197732E-3</c:v>
                  </c:pt>
                  <c:pt idx="5">
                    <c:v>5.0797228847476207E-4</c:v>
                  </c:pt>
                  <c:pt idx="6">
                    <c:v>1.1331803185163219E-3</c:v>
                  </c:pt>
                  <c:pt idx="7">
                    <c:v>2.3319111461645031E-3</c:v>
                  </c:pt>
                  <c:pt idx="8">
                    <c:v>2.0919294998375665E-3</c:v>
                  </c:pt>
                  <c:pt idx="9">
                    <c:v>2.7826322142505203E-3</c:v>
                  </c:pt>
                  <c:pt idx="10">
                    <c:v>8.1590348400742072E-4</c:v>
                  </c:pt>
                  <c:pt idx="11">
                    <c:v>1.3962375307038678E-3</c:v>
                  </c:pt>
                  <c:pt idx="12">
                    <c:v>1.5655674913819216E-3</c:v>
                  </c:pt>
                  <c:pt idx="13">
                    <c:v>1.8201106455279573E-3</c:v>
                  </c:pt>
                  <c:pt idx="14">
                    <c:v>1.9655708298320501E-3</c:v>
                  </c:pt>
                </c:numCache>
              </c:numRef>
            </c:plus>
            <c:minus>
              <c:numRef>
                <c:f>FIGURES!$AS$352:$AS$366</c:f>
                <c:numCache>
                  <c:formatCode>General</c:formatCode>
                  <c:ptCount val="15"/>
                  <c:pt idx="0">
                    <c:v>3.6670351634641302E-4</c:v>
                  </c:pt>
                  <c:pt idx="1">
                    <c:v>8.1803912709922308E-4</c:v>
                  </c:pt>
                  <c:pt idx="2">
                    <c:v>1.1534577189326878E-3</c:v>
                  </c:pt>
                  <c:pt idx="3">
                    <c:v>1.0354925956486058E-3</c:v>
                  </c:pt>
                  <c:pt idx="4">
                    <c:v>1.3687840226099257E-3</c:v>
                  </c:pt>
                  <c:pt idx="5">
                    <c:v>1.2358131794236709E-3</c:v>
                  </c:pt>
                  <c:pt idx="6">
                    <c:v>2.7568416704203021E-3</c:v>
                  </c:pt>
                  <c:pt idx="7">
                    <c:v>1.6299727808687381E-3</c:v>
                  </c:pt>
                  <c:pt idx="8">
                    <c:v>1.4622290175335048E-3</c:v>
                  </c:pt>
                  <c:pt idx="9">
                    <c:v>1.9450204077702121E-3</c:v>
                  </c:pt>
                  <c:pt idx="10">
                    <c:v>1.2415922582721707E-3</c:v>
                  </c:pt>
                  <c:pt idx="11">
                    <c:v>2.4409390597507873E-3</c:v>
                  </c:pt>
                  <c:pt idx="12">
                    <c:v>1.6699386574740467E-3</c:v>
                  </c:pt>
                  <c:pt idx="13">
                    <c:v>1.8181145640207997E-3</c:v>
                  </c:pt>
                  <c:pt idx="14">
                    <c:v>2.096608885154172E-3</c:v>
                  </c:pt>
                </c:numCache>
              </c:numRef>
            </c:minus>
            <c:spPr>
              <a:noFill/>
              <a:ln w="9525" cap="flat" cmpd="sng" algn="ctr">
                <a:solidFill>
                  <a:schemeClr val="bg2">
                    <a:lumMod val="75000"/>
                  </a:schemeClr>
                </a:solidFill>
                <a:round/>
              </a:ln>
              <a:effectLst/>
            </c:spPr>
          </c:errBars>
          <c:cat>
            <c:multiLvlStrRef>
              <c:f>FIGURES!$P$280:$Q$294</c:f>
              <c:multiLvlStrCache>
                <c:ptCount val="15"/>
                <c:lvl>
                  <c:pt idx="0">
                    <c:v>Sea - Container - Heavy fuel oil</c:v>
                  </c:pt>
                  <c:pt idx="1">
                    <c:v>Sea - Container - Maritime gas oil</c:v>
                  </c:pt>
                  <c:pt idx="2">
                    <c:v>Sea - Container - Ammonia</c:v>
                  </c:pt>
                  <c:pt idx="3">
                    <c:v>Sea - Container - Hydrogen</c:v>
                  </c:pt>
                  <c:pt idx="4">
                    <c:v>Sea - Container - Methanol</c:v>
                  </c:pt>
                  <c:pt idx="5">
                    <c:v>Sea - Container - Heavy fuel oil</c:v>
                  </c:pt>
                  <c:pt idx="6">
                    <c:v>Sea - Container - Maritime gas oil</c:v>
                  </c:pt>
                  <c:pt idx="7">
                    <c:v>Sea - Container - Ammonia</c:v>
                  </c:pt>
                  <c:pt idx="8">
                    <c:v>Sea - Container - Hydrogen</c:v>
                  </c:pt>
                  <c:pt idx="9">
                    <c:v>Sea - Container - Methanol</c:v>
                  </c:pt>
                  <c:pt idx="10">
                    <c:v>Sea - Container - Heavy fuel oil</c:v>
                  </c:pt>
                  <c:pt idx="11">
                    <c:v>Sea - Container - Hydrogen</c:v>
                  </c:pt>
                  <c:pt idx="12">
                    <c:v>Sea - Container - Ammonia</c:v>
                  </c:pt>
                  <c:pt idx="13">
                    <c:v>Sea - Container - Maritime gas oil</c:v>
                  </c:pt>
                  <c:pt idx="14">
                    <c:v>Sea - Container - Methanol</c:v>
                  </c:pt>
                </c:lvl>
                <c:lvl>
                  <c:pt idx="0">
                    <c:v>2023</c:v>
                  </c:pt>
                  <c:pt idx="5">
                    <c:v>2034</c:v>
                  </c:pt>
                  <c:pt idx="10">
                    <c:v>2050</c:v>
                  </c:pt>
                </c:lvl>
              </c:multiLvlStrCache>
            </c:multiLvlStrRef>
          </c:cat>
          <c:val>
            <c:numRef>
              <c:f>FIGURES!$AB$280:$AB$294</c:f>
              <c:numCache>
                <c:formatCode>General</c:formatCode>
                <c:ptCount val="15"/>
                <c:pt idx="0">
                  <c:v>1.829443359540834E-3</c:v>
                </c:pt>
                <c:pt idx="1">
                  <c:v>1.7360815489011045E-3</c:v>
                </c:pt>
                <c:pt idx="2">
                  <c:v>2.4772393588019895E-4</c:v>
                </c:pt>
                <c:pt idx="3">
                  <c:v>2.4304989935415751E-4</c:v>
                </c:pt>
                <c:pt idx="4">
                  <c:v>3.1444724009633705E-4</c:v>
                </c:pt>
                <c:pt idx="5">
                  <c:v>4.1524661257787056E-3</c:v>
                </c:pt>
                <c:pt idx="6">
                  <c:v>3.9405537131308793E-3</c:v>
                </c:pt>
                <c:pt idx="7">
                  <c:v>3.29492650738565E-4</c:v>
                </c:pt>
                <c:pt idx="8">
                  <c:v>3.2327580827179973E-4</c:v>
                </c:pt>
                <c:pt idx="9">
                  <c:v>4.1823998269942579E-4</c:v>
                </c:pt>
                <c:pt idx="10">
                  <c:v>3.9785632626608411E-3</c:v>
                </c:pt>
                <c:pt idx="11">
                  <c:v>1.2840718932885571E-6</c:v>
                </c:pt>
                <c:pt idx="12">
                  <c:v>1.3087655835441336E-6</c:v>
                </c:pt>
                <c:pt idx="13">
                  <c:v>3.7755256184454147E-3</c:v>
                </c:pt>
                <c:pt idx="14">
                  <c:v>1.6612755816924542E-6</c:v>
                </c:pt>
              </c:numCache>
            </c:numRef>
          </c:val>
          <c:extLst>
            <c:ext xmlns:c16="http://schemas.microsoft.com/office/drawing/2014/chart" uri="{C3380CC4-5D6E-409C-BE32-E72D297353CC}">
              <c16:uniqueId val="{0000000A-72E9-426D-A5C3-9DC6E74FB49A}"/>
            </c:ext>
          </c:extLst>
        </c:ser>
        <c:dLbls>
          <c:showLegendKey val="0"/>
          <c:showVal val="0"/>
          <c:showCatName val="0"/>
          <c:showSerName val="0"/>
          <c:showPercent val="0"/>
          <c:showBubbleSize val="0"/>
        </c:dLbls>
        <c:gapWidth val="150"/>
        <c:overlap val="100"/>
        <c:axId val="861627664"/>
        <c:axId val="861626680"/>
      </c:barChart>
      <c:catAx>
        <c:axId val="861627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61626680"/>
        <c:crosses val="autoZero"/>
        <c:auto val="1"/>
        <c:lblAlgn val="ctr"/>
        <c:lblOffset val="100"/>
        <c:noMultiLvlLbl val="0"/>
      </c:catAx>
      <c:valAx>
        <c:axId val="861626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61627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1"/>
          <c:order val="0"/>
          <c:tx>
            <c:strRef>
              <c:f>FIGURES!$BV$295</c:f>
              <c:strCache>
                <c:ptCount val="1"/>
                <c:pt idx="0">
                  <c:v>Residual value (vehicle)</c:v>
                </c:pt>
              </c:strCache>
            </c:strRef>
          </c:tx>
          <c:spPr>
            <a:solidFill>
              <a:schemeClr val="accent2"/>
            </a:solidFill>
            <a:ln>
              <a:noFill/>
            </a:ln>
            <a:effectLst/>
          </c:spPr>
          <c:invertIfNegative val="0"/>
          <c:cat>
            <c:multiLvlStrRef>
              <c:f>FIGURES!$BS$296:$BT$304</c:f>
              <c:multiLvlStrCache>
                <c:ptCount val="9"/>
                <c:lvl>
                  <c:pt idx="0">
                    <c:v>Road - Container - Diesel</c:v>
                  </c:pt>
                  <c:pt idx="1">
                    <c:v>Road - Container - Battery</c:v>
                  </c:pt>
                  <c:pt idx="2">
                    <c:v>Road - Container - Hydrogen</c:v>
                  </c:pt>
                  <c:pt idx="3">
                    <c:v>Road - Container - Diesel</c:v>
                  </c:pt>
                  <c:pt idx="4">
                    <c:v>Road - Container - Battery</c:v>
                  </c:pt>
                  <c:pt idx="5">
                    <c:v>Road - Container - Hydrogen</c:v>
                  </c:pt>
                  <c:pt idx="6">
                    <c:v>Road - Container - Diesel</c:v>
                  </c:pt>
                  <c:pt idx="7">
                    <c:v>Road - Container - Battery</c:v>
                  </c:pt>
                  <c:pt idx="8">
                    <c:v>Road - Container - Hydrogen</c:v>
                  </c:pt>
                </c:lvl>
                <c:lvl>
                  <c:pt idx="0">
                    <c:v>2023</c:v>
                  </c:pt>
                  <c:pt idx="3">
                    <c:v>2034</c:v>
                  </c:pt>
                  <c:pt idx="6">
                    <c:v>2050</c:v>
                  </c:pt>
                </c:lvl>
              </c:multiLvlStrCache>
            </c:multiLvlStrRef>
          </c:cat>
          <c:val>
            <c:numRef>
              <c:f>FIGURES!$BV$296:$BV$304</c:f>
              <c:numCache>
                <c:formatCode>General</c:formatCode>
                <c:ptCount val="9"/>
                <c:pt idx="0">
                  <c:v>-1.6030702191455165E-3</c:v>
                </c:pt>
                <c:pt idx="1">
                  <c:v>-3.6019223357858176E-3</c:v>
                </c:pt>
                <c:pt idx="2">
                  <c:v>-3.5424872620014453E-3</c:v>
                </c:pt>
                <c:pt idx="3">
                  <c:v>-1.3676032524712327E-3</c:v>
                </c:pt>
                <c:pt idx="4">
                  <c:v>-2.5312150332824808E-3</c:v>
                </c:pt>
                <c:pt idx="5">
                  <c:v>-2.721219397624406E-3</c:v>
                </c:pt>
                <c:pt idx="6">
                  <c:v>-1.0594650200048046E-3</c:v>
                </c:pt>
                <c:pt idx="7">
                  <c:v>-2.2244856106439686E-3</c:v>
                </c:pt>
                <c:pt idx="8">
                  <c:v>-2.3780107811737857E-3</c:v>
                </c:pt>
              </c:numCache>
            </c:numRef>
          </c:val>
          <c:extLst>
            <c:ext xmlns:c16="http://schemas.microsoft.com/office/drawing/2014/chart" uri="{C3380CC4-5D6E-409C-BE32-E72D297353CC}">
              <c16:uniqueId val="{00000001-D451-4FB0-BDC0-4ACDDE23F893}"/>
            </c:ext>
          </c:extLst>
        </c:ser>
        <c:ser>
          <c:idx val="3"/>
          <c:order val="1"/>
          <c:tx>
            <c:strRef>
              <c:f>FIGURES!$BX$295</c:f>
              <c:strCache>
                <c:ptCount val="1"/>
                <c:pt idx="0">
                  <c:v>Residual value (costumization)</c:v>
                </c:pt>
              </c:strCache>
            </c:strRef>
          </c:tx>
          <c:spPr>
            <a:solidFill>
              <a:schemeClr val="accent4"/>
            </a:solidFill>
            <a:ln>
              <a:noFill/>
            </a:ln>
            <a:effectLst/>
          </c:spPr>
          <c:invertIfNegative val="0"/>
          <c:cat>
            <c:multiLvlStrRef>
              <c:f>FIGURES!$BS$296:$BT$304</c:f>
              <c:multiLvlStrCache>
                <c:ptCount val="9"/>
                <c:lvl>
                  <c:pt idx="0">
                    <c:v>Road - Container - Diesel</c:v>
                  </c:pt>
                  <c:pt idx="1">
                    <c:v>Road - Container - Battery</c:v>
                  </c:pt>
                  <c:pt idx="2">
                    <c:v>Road - Container - Hydrogen</c:v>
                  </c:pt>
                  <c:pt idx="3">
                    <c:v>Road - Container - Diesel</c:v>
                  </c:pt>
                  <c:pt idx="4">
                    <c:v>Road - Container - Battery</c:v>
                  </c:pt>
                  <c:pt idx="5">
                    <c:v>Road - Container - Hydrogen</c:v>
                  </c:pt>
                  <c:pt idx="6">
                    <c:v>Road - Container - Diesel</c:v>
                  </c:pt>
                  <c:pt idx="7">
                    <c:v>Road - Container - Battery</c:v>
                  </c:pt>
                  <c:pt idx="8">
                    <c:v>Road - Container - Hydrogen</c:v>
                  </c:pt>
                </c:lvl>
                <c:lvl>
                  <c:pt idx="0">
                    <c:v>2023</c:v>
                  </c:pt>
                  <c:pt idx="3">
                    <c:v>2034</c:v>
                  </c:pt>
                  <c:pt idx="6">
                    <c:v>2050</c:v>
                  </c:pt>
                </c:lvl>
              </c:multiLvlStrCache>
            </c:multiLvlStrRef>
          </c:cat>
          <c:val>
            <c:numRef>
              <c:f>FIGURES!$BX$296:$BX$304</c:f>
              <c:numCache>
                <c:formatCode>General</c:formatCode>
                <c:ptCount val="9"/>
                <c:pt idx="0">
                  <c:v>-3.8819416634395349E-4</c:v>
                </c:pt>
                <c:pt idx="1">
                  <c:v>-3.8819416634395349E-4</c:v>
                </c:pt>
                <c:pt idx="2">
                  <c:v>-3.8819416634395349E-4</c:v>
                </c:pt>
                <c:pt idx="3">
                  <c:v>-3.8819416634395349E-4</c:v>
                </c:pt>
                <c:pt idx="4">
                  <c:v>-3.8819416634395349E-4</c:v>
                </c:pt>
                <c:pt idx="5">
                  <c:v>-3.8819416634395349E-4</c:v>
                </c:pt>
                <c:pt idx="6">
                  <c:v>-3.8819416634395349E-4</c:v>
                </c:pt>
                <c:pt idx="7">
                  <c:v>-3.8819416634395349E-4</c:v>
                </c:pt>
                <c:pt idx="8">
                  <c:v>-3.8819416634395349E-4</c:v>
                </c:pt>
              </c:numCache>
            </c:numRef>
          </c:val>
          <c:extLst>
            <c:ext xmlns:c16="http://schemas.microsoft.com/office/drawing/2014/chart" uri="{C3380CC4-5D6E-409C-BE32-E72D297353CC}">
              <c16:uniqueId val="{00000003-D451-4FB0-BDC0-4ACDDE23F893}"/>
            </c:ext>
          </c:extLst>
        </c:ser>
        <c:ser>
          <c:idx val="0"/>
          <c:order val="2"/>
          <c:tx>
            <c:strRef>
              <c:f>FIGURES!$BU$295</c:f>
              <c:strCache>
                <c:ptCount val="1"/>
                <c:pt idx="0">
                  <c:v>Capex vehicle</c:v>
                </c:pt>
              </c:strCache>
            </c:strRef>
          </c:tx>
          <c:spPr>
            <a:solidFill>
              <a:schemeClr val="accent1"/>
            </a:solidFill>
            <a:ln>
              <a:noFill/>
            </a:ln>
            <a:effectLst/>
          </c:spPr>
          <c:invertIfNegative val="0"/>
          <c:cat>
            <c:multiLvlStrRef>
              <c:f>FIGURES!$BS$296:$BT$304</c:f>
              <c:multiLvlStrCache>
                <c:ptCount val="9"/>
                <c:lvl>
                  <c:pt idx="0">
                    <c:v>Road - Container - Diesel</c:v>
                  </c:pt>
                  <c:pt idx="1">
                    <c:v>Road - Container - Battery</c:v>
                  </c:pt>
                  <c:pt idx="2">
                    <c:v>Road - Container - Hydrogen</c:v>
                  </c:pt>
                  <c:pt idx="3">
                    <c:v>Road - Container - Diesel</c:v>
                  </c:pt>
                  <c:pt idx="4">
                    <c:v>Road - Container - Battery</c:v>
                  </c:pt>
                  <c:pt idx="5">
                    <c:v>Road - Container - Hydrogen</c:v>
                  </c:pt>
                  <c:pt idx="6">
                    <c:v>Road - Container - Diesel</c:v>
                  </c:pt>
                  <c:pt idx="7">
                    <c:v>Road - Container - Battery</c:v>
                  </c:pt>
                  <c:pt idx="8">
                    <c:v>Road - Container - Hydrogen</c:v>
                  </c:pt>
                </c:lvl>
                <c:lvl>
                  <c:pt idx="0">
                    <c:v>2023</c:v>
                  </c:pt>
                  <c:pt idx="3">
                    <c:v>2034</c:v>
                  </c:pt>
                  <c:pt idx="6">
                    <c:v>2050</c:v>
                  </c:pt>
                </c:lvl>
              </c:multiLvlStrCache>
            </c:multiLvlStrRef>
          </c:cat>
          <c:val>
            <c:numRef>
              <c:f>FIGURES!$BU$296:$BU$304</c:f>
              <c:numCache>
                <c:formatCode>General</c:formatCode>
                <c:ptCount val="9"/>
                <c:pt idx="0">
                  <c:v>6.4495368251871292E-3</c:v>
                </c:pt>
                <c:pt idx="1">
                  <c:v>2.3691681943378187E-2</c:v>
                </c:pt>
                <c:pt idx="2">
                  <c:v>2.3374265103106976E-2</c:v>
                </c:pt>
                <c:pt idx="3">
                  <c:v>6.7111667881585542E-3</c:v>
                </c:pt>
                <c:pt idx="4">
                  <c:v>1.2195666695447615E-2</c:v>
                </c:pt>
                <c:pt idx="5">
                  <c:v>1.3602217096595365E-2</c:v>
                </c:pt>
                <c:pt idx="6">
                  <c:v>7.0535426020101408E-3</c:v>
                </c:pt>
                <c:pt idx="7">
                  <c:v>8.9023613155393838E-3</c:v>
                </c:pt>
                <c:pt idx="8">
                  <c:v>9.5184690021196325E-3</c:v>
                </c:pt>
              </c:numCache>
            </c:numRef>
          </c:val>
          <c:extLst>
            <c:ext xmlns:c16="http://schemas.microsoft.com/office/drawing/2014/chart" uri="{C3380CC4-5D6E-409C-BE32-E72D297353CC}">
              <c16:uniqueId val="{00000000-D451-4FB0-BDC0-4ACDDE23F893}"/>
            </c:ext>
          </c:extLst>
        </c:ser>
        <c:ser>
          <c:idx val="2"/>
          <c:order val="3"/>
          <c:tx>
            <c:strRef>
              <c:f>FIGURES!$BW$295</c:f>
              <c:strCache>
                <c:ptCount val="1"/>
                <c:pt idx="0">
                  <c:v>Capex (costumization)</c:v>
                </c:pt>
              </c:strCache>
            </c:strRef>
          </c:tx>
          <c:spPr>
            <a:solidFill>
              <a:schemeClr val="accent3"/>
            </a:solidFill>
            <a:ln>
              <a:noFill/>
            </a:ln>
            <a:effectLst/>
          </c:spPr>
          <c:invertIfNegative val="0"/>
          <c:cat>
            <c:multiLvlStrRef>
              <c:f>FIGURES!$BS$296:$BT$304</c:f>
              <c:multiLvlStrCache>
                <c:ptCount val="9"/>
                <c:lvl>
                  <c:pt idx="0">
                    <c:v>Road - Container - Diesel</c:v>
                  </c:pt>
                  <c:pt idx="1">
                    <c:v>Road - Container - Battery</c:v>
                  </c:pt>
                  <c:pt idx="2">
                    <c:v>Road - Container - Hydrogen</c:v>
                  </c:pt>
                  <c:pt idx="3">
                    <c:v>Road - Container - Diesel</c:v>
                  </c:pt>
                  <c:pt idx="4">
                    <c:v>Road - Container - Battery</c:v>
                  </c:pt>
                  <c:pt idx="5">
                    <c:v>Road - Container - Hydrogen</c:v>
                  </c:pt>
                  <c:pt idx="6">
                    <c:v>Road - Container - Diesel</c:v>
                  </c:pt>
                  <c:pt idx="7">
                    <c:v>Road - Container - Battery</c:v>
                  </c:pt>
                  <c:pt idx="8">
                    <c:v>Road - Container - Hydrogen</c:v>
                  </c:pt>
                </c:lvl>
                <c:lvl>
                  <c:pt idx="0">
                    <c:v>2023</c:v>
                  </c:pt>
                  <c:pt idx="3">
                    <c:v>2034</c:v>
                  </c:pt>
                  <c:pt idx="6">
                    <c:v>2050</c:v>
                  </c:pt>
                </c:lvl>
              </c:multiLvlStrCache>
            </c:multiLvlStrRef>
          </c:cat>
          <c:val>
            <c:numRef>
              <c:f>FIGURES!$BW$296:$BW$304</c:f>
              <c:numCache>
                <c:formatCode>General</c:formatCode>
                <c:ptCount val="9"/>
                <c:pt idx="0">
                  <c:v>1.552776665375814E-3</c:v>
                </c:pt>
                <c:pt idx="1">
                  <c:v>1.552776665375814E-3</c:v>
                </c:pt>
                <c:pt idx="2">
                  <c:v>1.552776665375814E-3</c:v>
                </c:pt>
                <c:pt idx="3">
                  <c:v>1.552776665375814E-3</c:v>
                </c:pt>
                <c:pt idx="4">
                  <c:v>1.552776665375814E-3</c:v>
                </c:pt>
                <c:pt idx="5">
                  <c:v>1.552776665375814E-3</c:v>
                </c:pt>
                <c:pt idx="6">
                  <c:v>1.552776665375814E-3</c:v>
                </c:pt>
                <c:pt idx="7">
                  <c:v>1.552776665375814E-3</c:v>
                </c:pt>
                <c:pt idx="8">
                  <c:v>1.552776665375814E-3</c:v>
                </c:pt>
              </c:numCache>
            </c:numRef>
          </c:val>
          <c:extLst>
            <c:ext xmlns:c16="http://schemas.microsoft.com/office/drawing/2014/chart" uri="{C3380CC4-5D6E-409C-BE32-E72D297353CC}">
              <c16:uniqueId val="{00000002-D451-4FB0-BDC0-4ACDDE23F893}"/>
            </c:ext>
          </c:extLst>
        </c:ser>
        <c:ser>
          <c:idx val="4"/>
          <c:order val="4"/>
          <c:tx>
            <c:strRef>
              <c:f>FIGURES!$BY$295</c:f>
              <c:strCache>
                <c:ptCount val="1"/>
                <c:pt idx="0">
                  <c:v>Opex fix (e.g. Crew)</c:v>
                </c:pt>
              </c:strCache>
            </c:strRef>
          </c:tx>
          <c:spPr>
            <a:solidFill>
              <a:schemeClr val="accent5"/>
            </a:solidFill>
            <a:ln>
              <a:noFill/>
            </a:ln>
            <a:effectLst/>
          </c:spPr>
          <c:invertIfNegative val="0"/>
          <c:cat>
            <c:multiLvlStrRef>
              <c:f>FIGURES!$BS$296:$BT$304</c:f>
              <c:multiLvlStrCache>
                <c:ptCount val="9"/>
                <c:lvl>
                  <c:pt idx="0">
                    <c:v>Road - Container - Diesel</c:v>
                  </c:pt>
                  <c:pt idx="1">
                    <c:v>Road - Container - Battery</c:v>
                  </c:pt>
                  <c:pt idx="2">
                    <c:v>Road - Container - Hydrogen</c:v>
                  </c:pt>
                  <c:pt idx="3">
                    <c:v>Road - Container - Diesel</c:v>
                  </c:pt>
                  <c:pt idx="4">
                    <c:v>Road - Container - Battery</c:v>
                  </c:pt>
                  <c:pt idx="5">
                    <c:v>Road - Container - Hydrogen</c:v>
                  </c:pt>
                  <c:pt idx="6">
                    <c:v>Road - Container - Diesel</c:v>
                  </c:pt>
                  <c:pt idx="7">
                    <c:v>Road - Container - Battery</c:v>
                  </c:pt>
                  <c:pt idx="8">
                    <c:v>Road - Container - Hydrogen</c:v>
                  </c:pt>
                </c:lvl>
                <c:lvl>
                  <c:pt idx="0">
                    <c:v>2023</c:v>
                  </c:pt>
                  <c:pt idx="3">
                    <c:v>2034</c:v>
                  </c:pt>
                  <c:pt idx="6">
                    <c:v>2050</c:v>
                  </c:pt>
                </c:lvl>
              </c:multiLvlStrCache>
            </c:multiLvlStrRef>
          </c:cat>
          <c:val>
            <c:numRef>
              <c:f>FIGURES!$BY$296:$BY$304</c:f>
              <c:numCache>
                <c:formatCode>General</c:formatCode>
                <c:ptCount val="9"/>
                <c:pt idx="0">
                  <c:v>2.6666666666666665E-2</c:v>
                </c:pt>
                <c:pt idx="1">
                  <c:v>2.6666666666666665E-2</c:v>
                </c:pt>
                <c:pt idx="2">
                  <c:v>2.6666666666666665E-2</c:v>
                </c:pt>
                <c:pt idx="3">
                  <c:v>2.6666666666666665E-2</c:v>
                </c:pt>
                <c:pt idx="4">
                  <c:v>2.6666666666666665E-2</c:v>
                </c:pt>
                <c:pt idx="5">
                  <c:v>2.6666666666666665E-2</c:v>
                </c:pt>
                <c:pt idx="6">
                  <c:v>2.6666666666666665E-2</c:v>
                </c:pt>
                <c:pt idx="7">
                  <c:v>2.6666666666666665E-2</c:v>
                </c:pt>
                <c:pt idx="8">
                  <c:v>2.6666666666666665E-2</c:v>
                </c:pt>
              </c:numCache>
            </c:numRef>
          </c:val>
          <c:extLst>
            <c:ext xmlns:c16="http://schemas.microsoft.com/office/drawing/2014/chart" uri="{C3380CC4-5D6E-409C-BE32-E72D297353CC}">
              <c16:uniqueId val="{00000004-D451-4FB0-BDC0-4ACDDE23F893}"/>
            </c:ext>
          </c:extLst>
        </c:ser>
        <c:ser>
          <c:idx val="5"/>
          <c:order val="5"/>
          <c:tx>
            <c:strRef>
              <c:f>FIGURES!$BZ$295</c:f>
              <c:strCache>
                <c:ptCount val="1"/>
                <c:pt idx="0">
                  <c:v>Opex maintenance &amp; repair</c:v>
                </c:pt>
              </c:strCache>
            </c:strRef>
          </c:tx>
          <c:spPr>
            <a:solidFill>
              <a:schemeClr val="accent6"/>
            </a:solidFill>
            <a:ln>
              <a:noFill/>
            </a:ln>
            <a:effectLst/>
          </c:spPr>
          <c:invertIfNegative val="0"/>
          <c:cat>
            <c:multiLvlStrRef>
              <c:f>FIGURES!$BS$296:$BT$304</c:f>
              <c:multiLvlStrCache>
                <c:ptCount val="9"/>
                <c:lvl>
                  <c:pt idx="0">
                    <c:v>Road - Container - Diesel</c:v>
                  </c:pt>
                  <c:pt idx="1">
                    <c:v>Road - Container - Battery</c:v>
                  </c:pt>
                  <c:pt idx="2">
                    <c:v>Road - Container - Hydrogen</c:v>
                  </c:pt>
                  <c:pt idx="3">
                    <c:v>Road - Container - Diesel</c:v>
                  </c:pt>
                  <c:pt idx="4">
                    <c:v>Road - Container - Battery</c:v>
                  </c:pt>
                  <c:pt idx="5">
                    <c:v>Road - Container - Hydrogen</c:v>
                  </c:pt>
                  <c:pt idx="6">
                    <c:v>Road - Container - Diesel</c:v>
                  </c:pt>
                  <c:pt idx="7">
                    <c:v>Road - Container - Battery</c:v>
                  </c:pt>
                  <c:pt idx="8">
                    <c:v>Road - Container - Hydrogen</c:v>
                  </c:pt>
                </c:lvl>
                <c:lvl>
                  <c:pt idx="0">
                    <c:v>2023</c:v>
                  </c:pt>
                  <c:pt idx="3">
                    <c:v>2034</c:v>
                  </c:pt>
                  <c:pt idx="6">
                    <c:v>2050</c:v>
                  </c:pt>
                </c:lvl>
              </c:multiLvlStrCache>
            </c:multiLvlStrRef>
          </c:cat>
          <c:val>
            <c:numRef>
              <c:f>FIGURES!$BZ$296:$BZ$304</c:f>
              <c:numCache>
                <c:formatCode>General</c:formatCode>
                <c:ptCount val="9"/>
                <c:pt idx="0">
                  <c:v>7.619047619047619E-3</c:v>
                </c:pt>
                <c:pt idx="1">
                  <c:v>5.7142857142857143E-3</c:v>
                </c:pt>
                <c:pt idx="2">
                  <c:v>9.7882661839723516E-3</c:v>
                </c:pt>
                <c:pt idx="3">
                  <c:v>7.619047619047619E-3</c:v>
                </c:pt>
                <c:pt idx="4">
                  <c:v>5.7142857142857143E-3</c:v>
                </c:pt>
                <c:pt idx="5">
                  <c:v>7.7224822441822839E-3</c:v>
                </c:pt>
                <c:pt idx="6">
                  <c:v>7.619047619047619E-3</c:v>
                </c:pt>
                <c:pt idx="7">
                  <c:v>5.7142857142857143E-3</c:v>
                </c:pt>
                <c:pt idx="8">
                  <c:v>6.8591891840075045E-3</c:v>
                </c:pt>
              </c:numCache>
            </c:numRef>
          </c:val>
          <c:extLst>
            <c:ext xmlns:c16="http://schemas.microsoft.com/office/drawing/2014/chart" uri="{C3380CC4-5D6E-409C-BE32-E72D297353CC}">
              <c16:uniqueId val="{00000005-D451-4FB0-BDC0-4ACDDE23F893}"/>
            </c:ext>
          </c:extLst>
        </c:ser>
        <c:ser>
          <c:idx val="6"/>
          <c:order val="6"/>
          <c:tx>
            <c:strRef>
              <c:f>FIGURES!$CA$295</c:f>
              <c:strCache>
                <c:ptCount val="1"/>
                <c:pt idx="0">
                  <c:v>Opex var</c:v>
                </c:pt>
              </c:strCache>
            </c:strRef>
          </c:tx>
          <c:spPr>
            <a:solidFill>
              <a:schemeClr val="accent1">
                <a:lumMod val="60000"/>
              </a:schemeClr>
            </a:solidFill>
            <a:ln>
              <a:noFill/>
            </a:ln>
            <a:effectLst/>
          </c:spPr>
          <c:invertIfNegative val="0"/>
          <c:cat>
            <c:multiLvlStrRef>
              <c:f>FIGURES!$BS$296:$BT$304</c:f>
              <c:multiLvlStrCache>
                <c:ptCount val="9"/>
                <c:lvl>
                  <c:pt idx="0">
                    <c:v>Road - Container - Diesel</c:v>
                  </c:pt>
                  <c:pt idx="1">
                    <c:v>Road - Container - Battery</c:v>
                  </c:pt>
                  <c:pt idx="2">
                    <c:v>Road - Container - Hydrogen</c:v>
                  </c:pt>
                  <c:pt idx="3">
                    <c:v>Road - Container - Diesel</c:v>
                  </c:pt>
                  <c:pt idx="4">
                    <c:v>Road - Container - Battery</c:v>
                  </c:pt>
                  <c:pt idx="5">
                    <c:v>Road - Container - Hydrogen</c:v>
                  </c:pt>
                  <c:pt idx="6">
                    <c:v>Road - Container - Diesel</c:v>
                  </c:pt>
                  <c:pt idx="7">
                    <c:v>Road - Container - Battery</c:v>
                  </c:pt>
                  <c:pt idx="8">
                    <c:v>Road - Container - Hydrogen</c:v>
                  </c:pt>
                </c:lvl>
                <c:lvl>
                  <c:pt idx="0">
                    <c:v>2023</c:v>
                  </c:pt>
                  <c:pt idx="3">
                    <c:v>2034</c:v>
                  </c:pt>
                  <c:pt idx="6">
                    <c:v>2050</c:v>
                  </c:pt>
                </c:lvl>
              </c:multiLvlStrCache>
            </c:multiLvlStrRef>
          </c:cat>
          <c:val>
            <c:numRef>
              <c:f>FIGURES!$CA$296:$CA$304</c:f>
              <c:numCache>
                <c:formatCode>General</c:formatCode>
                <c:ptCount val="9"/>
                <c:pt idx="0">
                  <c:v>4.4000000000000003E-3</c:v>
                </c:pt>
                <c:pt idx="1">
                  <c:v>4.4000000000000003E-3</c:v>
                </c:pt>
                <c:pt idx="2">
                  <c:v>4.4000000000000003E-3</c:v>
                </c:pt>
                <c:pt idx="3">
                  <c:v>4.4000000000000003E-3</c:v>
                </c:pt>
                <c:pt idx="4">
                  <c:v>4.4000000000000003E-3</c:v>
                </c:pt>
                <c:pt idx="5">
                  <c:v>4.4000000000000003E-3</c:v>
                </c:pt>
                <c:pt idx="6">
                  <c:v>4.4000000000000003E-3</c:v>
                </c:pt>
                <c:pt idx="7">
                  <c:v>4.4000000000000003E-3</c:v>
                </c:pt>
                <c:pt idx="8">
                  <c:v>4.4000000000000003E-3</c:v>
                </c:pt>
              </c:numCache>
            </c:numRef>
          </c:val>
          <c:extLst>
            <c:ext xmlns:c16="http://schemas.microsoft.com/office/drawing/2014/chart" uri="{C3380CC4-5D6E-409C-BE32-E72D297353CC}">
              <c16:uniqueId val="{00000006-D451-4FB0-BDC0-4ACDDE23F893}"/>
            </c:ext>
          </c:extLst>
        </c:ser>
        <c:ser>
          <c:idx val="8"/>
          <c:order val="7"/>
          <c:tx>
            <c:strRef>
              <c:f>FIGURES!$CC$295</c:f>
              <c:strCache>
                <c:ptCount val="1"/>
                <c:pt idx="0">
                  <c:v>Payload loss (market)</c:v>
                </c:pt>
              </c:strCache>
            </c:strRef>
          </c:tx>
          <c:spPr>
            <a:solidFill>
              <a:schemeClr val="accent3">
                <a:lumMod val="60000"/>
              </a:schemeClr>
            </a:solidFill>
            <a:ln>
              <a:noFill/>
            </a:ln>
            <a:effectLst/>
          </c:spPr>
          <c:invertIfNegative val="0"/>
          <c:cat>
            <c:multiLvlStrRef>
              <c:f>FIGURES!$BS$296:$BT$304</c:f>
              <c:multiLvlStrCache>
                <c:ptCount val="9"/>
                <c:lvl>
                  <c:pt idx="0">
                    <c:v>Road - Container - Diesel</c:v>
                  </c:pt>
                  <c:pt idx="1">
                    <c:v>Road - Container - Battery</c:v>
                  </c:pt>
                  <c:pt idx="2">
                    <c:v>Road - Container - Hydrogen</c:v>
                  </c:pt>
                  <c:pt idx="3">
                    <c:v>Road - Container - Diesel</c:v>
                  </c:pt>
                  <c:pt idx="4">
                    <c:v>Road - Container - Battery</c:v>
                  </c:pt>
                  <c:pt idx="5">
                    <c:v>Road - Container - Hydrogen</c:v>
                  </c:pt>
                  <c:pt idx="6">
                    <c:v>Road - Container - Diesel</c:v>
                  </c:pt>
                  <c:pt idx="7">
                    <c:v>Road - Container - Battery</c:v>
                  </c:pt>
                  <c:pt idx="8">
                    <c:v>Road - Container - Hydrogen</c:v>
                  </c:pt>
                </c:lvl>
                <c:lvl>
                  <c:pt idx="0">
                    <c:v>2023</c:v>
                  </c:pt>
                  <c:pt idx="3">
                    <c:v>2034</c:v>
                  </c:pt>
                  <c:pt idx="6">
                    <c:v>2050</c:v>
                  </c:pt>
                </c:lvl>
              </c:multiLvlStrCache>
            </c:multiLvlStrRef>
          </c:cat>
          <c:val>
            <c:numRef>
              <c:f>FIGURES!$CC$296:$CC$304</c:f>
              <c:numCache>
                <c:formatCode>General</c:formatCode>
                <c:ptCount val="9"/>
                <c:pt idx="0">
                  <c:v>3.5248037269803176E-2</c:v>
                </c:pt>
                <c:pt idx="1">
                  <c:v>4.0224158087848919E-2</c:v>
                </c:pt>
                <c:pt idx="2">
                  <c:v>5.0834109002294334E-2</c:v>
                </c:pt>
                <c:pt idx="3">
                  <c:v>3.6433929617258602E-2</c:v>
                </c:pt>
                <c:pt idx="4">
                  <c:v>3.3379819142098317E-2</c:v>
                </c:pt>
                <c:pt idx="5">
                  <c:v>4.0389331457089936E-2</c:v>
                </c:pt>
                <c:pt idx="6">
                  <c:v>3.5584099003046925E-2</c:v>
                </c:pt>
                <c:pt idx="7">
                  <c:v>3.0894048511656932E-2</c:v>
                </c:pt>
                <c:pt idx="8">
                  <c:v>3.4355841857406665E-2</c:v>
                </c:pt>
              </c:numCache>
            </c:numRef>
          </c:val>
          <c:extLst>
            <c:ext xmlns:c16="http://schemas.microsoft.com/office/drawing/2014/chart" uri="{C3380CC4-5D6E-409C-BE32-E72D297353CC}">
              <c16:uniqueId val="{00000008-D451-4FB0-BDC0-4ACDDE23F893}"/>
            </c:ext>
          </c:extLst>
        </c:ser>
        <c:ser>
          <c:idx val="10"/>
          <c:order val="8"/>
          <c:tx>
            <c:strRef>
              <c:f>FIGURES!$CE$295</c:f>
              <c:strCache>
                <c:ptCount val="1"/>
                <c:pt idx="0">
                  <c:v>Emission Cost</c:v>
                </c:pt>
              </c:strCache>
            </c:strRef>
          </c:tx>
          <c:spPr>
            <a:solidFill>
              <a:schemeClr val="accent5">
                <a:lumMod val="60000"/>
              </a:schemeClr>
            </a:solidFill>
            <a:ln>
              <a:noFill/>
            </a:ln>
            <a:effectLst/>
          </c:spPr>
          <c:invertIfNegative val="0"/>
          <c:errBars>
            <c:errBarType val="both"/>
            <c:errValType val="cust"/>
            <c:noEndCap val="0"/>
            <c:plus>
              <c:numRef>
                <c:f>FIGURES!$CG$296:$CG$304</c:f>
                <c:numCache>
                  <c:formatCode>General</c:formatCode>
                  <c:ptCount val="9"/>
                  <c:pt idx="0">
                    <c:v>4.4441891740423789E-4</c:v>
                  </c:pt>
                  <c:pt idx="1">
                    <c:v>1.3751445145271379E-3</c:v>
                  </c:pt>
                  <c:pt idx="2">
                    <c:v>3.4435997353705061E-3</c:v>
                  </c:pt>
                  <c:pt idx="3">
                    <c:v>1.6716140050210826E-3</c:v>
                  </c:pt>
                  <c:pt idx="4">
                    <c:v>1.0306274357323592E-3</c:v>
                  </c:pt>
                  <c:pt idx="5">
                    <c:v>2.4495492013235087E-3</c:v>
                  </c:pt>
                  <c:pt idx="6">
                    <c:v>2.5704590102607616E-3</c:v>
                  </c:pt>
                  <c:pt idx="7">
                    <c:v>7.7437932366394846E-4</c:v>
                  </c:pt>
                  <c:pt idx="8">
                    <c:v>1.6376472718725166E-3</c:v>
                  </c:pt>
                </c:numCache>
              </c:numRef>
            </c:plus>
            <c:minus>
              <c:numRef>
                <c:f>FIGURES!$CF$296:$CF$304</c:f>
                <c:numCache>
                  <c:formatCode>General</c:formatCode>
                  <c:ptCount val="9"/>
                  <c:pt idx="0">
                    <c:v>1.2928550324487059E-3</c:v>
                  </c:pt>
                  <c:pt idx="1">
                    <c:v>6.0227848357766178E-4</c:v>
                  </c:pt>
                  <c:pt idx="2">
                    <c:v>1.5082095043521537E-3</c:v>
                  </c:pt>
                  <c:pt idx="3">
                    <c:v>4.0667624301259364E-3</c:v>
                  </c:pt>
                  <c:pt idx="4">
                    <c:v>7.2172002992701434E-4</c:v>
                  </c:pt>
                  <c:pt idx="5">
                    <c:v>1.7122001111077173E-3</c:v>
                  </c:pt>
                  <c:pt idx="6">
                    <c:v>3.9115680590924573E-3</c:v>
                  </c:pt>
                  <c:pt idx="7">
                    <c:v>8.260046119082376E-4</c:v>
                  </c:pt>
                  <c:pt idx="8">
                    <c:v>1.7468237566640177E-3</c:v>
                  </c:pt>
                </c:numCache>
              </c:numRef>
            </c:minus>
            <c:spPr>
              <a:noFill/>
              <a:ln w="9525" cap="flat" cmpd="sng" algn="ctr">
                <a:solidFill>
                  <a:schemeClr val="tx1">
                    <a:lumMod val="65000"/>
                    <a:lumOff val="35000"/>
                  </a:schemeClr>
                </a:solidFill>
                <a:round/>
              </a:ln>
              <a:effectLst/>
            </c:spPr>
          </c:errBars>
          <c:cat>
            <c:multiLvlStrRef>
              <c:f>FIGURES!$BS$296:$BT$304</c:f>
              <c:multiLvlStrCache>
                <c:ptCount val="9"/>
                <c:lvl>
                  <c:pt idx="0">
                    <c:v>Road - Container - Diesel</c:v>
                  </c:pt>
                  <c:pt idx="1">
                    <c:v>Road - Container - Battery</c:v>
                  </c:pt>
                  <c:pt idx="2">
                    <c:v>Road - Container - Hydrogen</c:v>
                  </c:pt>
                  <c:pt idx="3">
                    <c:v>Road - Container - Diesel</c:v>
                  </c:pt>
                  <c:pt idx="4">
                    <c:v>Road - Container - Battery</c:v>
                  </c:pt>
                  <c:pt idx="5">
                    <c:v>Road - Container - Hydrogen</c:v>
                  </c:pt>
                  <c:pt idx="6">
                    <c:v>Road - Container - Diesel</c:v>
                  </c:pt>
                  <c:pt idx="7">
                    <c:v>Road - Container - Battery</c:v>
                  </c:pt>
                  <c:pt idx="8">
                    <c:v>Road - Container - Hydrogen</c:v>
                  </c:pt>
                </c:lvl>
                <c:lvl>
                  <c:pt idx="0">
                    <c:v>2023</c:v>
                  </c:pt>
                  <c:pt idx="3">
                    <c:v>2034</c:v>
                  </c:pt>
                  <c:pt idx="6">
                    <c:v>2050</c:v>
                  </c:pt>
                </c:lvl>
              </c:multiLvlStrCache>
            </c:multiLvlStrRef>
          </c:cat>
          <c:val>
            <c:numRef>
              <c:f>FIGURES!$CE$296:$CE$304</c:f>
              <c:numCache>
                <c:formatCode>General</c:formatCode>
                <c:ptCount val="9"/>
                <c:pt idx="0">
                  <c:v>2.9375323900042061E-3</c:v>
                </c:pt>
                <c:pt idx="1">
                  <c:v>1.3227196424206973E-4</c:v>
                </c:pt>
                <c:pt idx="2">
                  <c:v>3.4287712042257822E-4</c:v>
                </c:pt>
                <c:pt idx="3">
                  <c:v>6.3738697451547754E-3</c:v>
                </c:pt>
                <c:pt idx="4">
                  <c:v>1.7593229318620677E-4</c:v>
                </c:pt>
                <c:pt idx="5">
                  <c:v>4.5605399770604809E-4</c:v>
                </c:pt>
                <c:pt idx="6">
                  <c:v>5.7102461303557804E-3</c:v>
                </c:pt>
                <c:pt idx="7">
                  <c:v>6.9881416122631238E-7</c:v>
                </c:pt>
                <c:pt idx="8">
                  <c:v>1.8114752335067749E-6</c:v>
                </c:pt>
              </c:numCache>
            </c:numRef>
          </c:val>
          <c:extLst>
            <c:ext xmlns:c16="http://schemas.microsoft.com/office/drawing/2014/chart" uri="{C3380CC4-5D6E-409C-BE32-E72D297353CC}">
              <c16:uniqueId val="{0000000A-D451-4FB0-BDC0-4ACDDE23F893}"/>
            </c:ext>
          </c:extLst>
        </c:ser>
        <c:ser>
          <c:idx val="9"/>
          <c:order val="9"/>
          <c:tx>
            <c:strRef>
              <c:f>FIGURES!$CD$295</c:f>
              <c:strCache>
                <c:ptCount val="1"/>
                <c:pt idx="0">
                  <c:v>Payload loss (fuel)</c:v>
                </c:pt>
              </c:strCache>
            </c:strRef>
          </c:tx>
          <c:spPr>
            <a:solidFill>
              <a:schemeClr val="accent4">
                <a:lumMod val="60000"/>
              </a:schemeClr>
            </a:solidFill>
            <a:ln>
              <a:noFill/>
            </a:ln>
            <a:effectLst/>
          </c:spPr>
          <c:invertIfNegative val="0"/>
          <c:cat>
            <c:multiLvlStrRef>
              <c:f>FIGURES!$BS$296:$BT$304</c:f>
              <c:multiLvlStrCache>
                <c:ptCount val="9"/>
                <c:lvl>
                  <c:pt idx="0">
                    <c:v>Road - Container - Diesel</c:v>
                  </c:pt>
                  <c:pt idx="1">
                    <c:v>Road - Container - Battery</c:v>
                  </c:pt>
                  <c:pt idx="2">
                    <c:v>Road - Container - Hydrogen</c:v>
                  </c:pt>
                  <c:pt idx="3">
                    <c:v>Road - Container - Diesel</c:v>
                  </c:pt>
                  <c:pt idx="4">
                    <c:v>Road - Container - Battery</c:v>
                  </c:pt>
                  <c:pt idx="5">
                    <c:v>Road - Container - Hydrogen</c:v>
                  </c:pt>
                  <c:pt idx="6">
                    <c:v>Road - Container - Diesel</c:v>
                  </c:pt>
                  <c:pt idx="7">
                    <c:v>Road - Container - Battery</c:v>
                  </c:pt>
                  <c:pt idx="8">
                    <c:v>Road - Container - Hydrogen</c:v>
                  </c:pt>
                </c:lvl>
                <c:lvl>
                  <c:pt idx="0">
                    <c:v>2023</c:v>
                  </c:pt>
                  <c:pt idx="3">
                    <c:v>2034</c:v>
                  </c:pt>
                  <c:pt idx="6">
                    <c:v>2050</c:v>
                  </c:pt>
                </c:lvl>
              </c:multiLvlStrCache>
            </c:multiLvlStrRef>
          </c:cat>
          <c:val>
            <c:numRef>
              <c:f>FIGURES!$CD$296:$CD$304</c:f>
              <c:numCache>
                <c:formatCode>General</c:formatCode>
                <c:ptCount val="9"/>
                <c:pt idx="0">
                  <c:v>0</c:v>
                </c:pt>
                <c:pt idx="1">
                  <c:v>7.0373565939039762E-3</c:v>
                </c:pt>
                <c:pt idx="2">
                  <c:v>4.2084925011030561E-3</c:v>
                </c:pt>
                <c:pt idx="3">
                  <c:v>0</c:v>
                </c:pt>
                <c:pt idx="4">
                  <c:v>4.4802769050627939E-3</c:v>
                </c:pt>
                <c:pt idx="5">
                  <c:v>2.4483661246475913E-3</c:v>
                </c:pt>
                <c:pt idx="6">
                  <c:v>0</c:v>
                </c:pt>
                <c:pt idx="7">
                  <c:v>2.5852196016976914E-3</c:v>
                </c:pt>
                <c:pt idx="8">
                  <c:v>1.1159414175274593E-3</c:v>
                </c:pt>
              </c:numCache>
            </c:numRef>
          </c:val>
          <c:extLst>
            <c:ext xmlns:c16="http://schemas.microsoft.com/office/drawing/2014/chart" uri="{C3380CC4-5D6E-409C-BE32-E72D297353CC}">
              <c16:uniqueId val="{00000009-D451-4FB0-BDC0-4ACDDE23F893}"/>
            </c:ext>
          </c:extLst>
        </c:ser>
        <c:ser>
          <c:idx val="7"/>
          <c:order val="10"/>
          <c:tx>
            <c:strRef>
              <c:f>FIGURES!$CB$295</c:f>
              <c:strCache>
                <c:ptCount val="1"/>
                <c:pt idx="0">
                  <c:v>Fuel Cost</c:v>
                </c:pt>
              </c:strCache>
            </c:strRef>
          </c:tx>
          <c:spPr>
            <a:solidFill>
              <a:schemeClr val="accent2">
                <a:lumMod val="60000"/>
              </a:schemeClr>
            </a:solidFill>
            <a:ln>
              <a:noFill/>
            </a:ln>
            <a:effectLst/>
          </c:spPr>
          <c:invertIfNegative val="0"/>
          <c:errBars>
            <c:errBarType val="both"/>
            <c:errValType val="cust"/>
            <c:noEndCap val="0"/>
            <c:plus>
              <c:numRef>
                <c:f>FIGURES!$CG$296:$CG$304</c:f>
                <c:numCache>
                  <c:formatCode>General</c:formatCode>
                  <c:ptCount val="9"/>
                  <c:pt idx="0">
                    <c:v>4.4441891740423789E-4</c:v>
                  </c:pt>
                  <c:pt idx="1">
                    <c:v>1.3751445145271379E-3</c:v>
                  </c:pt>
                  <c:pt idx="2">
                    <c:v>3.4435997353705061E-3</c:v>
                  </c:pt>
                  <c:pt idx="3">
                    <c:v>1.6716140050210826E-3</c:v>
                  </c:pt>
                  <c:pt idx="4">
                    <c:v>1.0306274357323592E-3</c:v>
                  </c:pt>
                  <c:pt idx="5">
                    <c:v>2.4495492013235087E-3</c:v>
                  </c:pt>
                  <c:pt idx="6">
                    <c:v>2.5704590102607616E-3</c:v>
                  </c:pt>
                  <c:pt idx="7">
                    <c:v>7.7437932366394846E-4</c:v>
                  </c:pt>
                  <c:pt idx="8">
                    <c:v>1.6376472718725166E-3</c:v>
                  </c:pt>
                </c:numCache>
              </c:numRef>
            </c:plus>
            <c:minus>
              <c:numRef>
                <c:f>FIGURES!$CF$296:$CF$304</c:f>
                <c:numCache>
                  <c:formatCode>General</c:formatCode>
                  <c:ptCount val="9"/>
                  <c:pt idx="0">
                    <c:v>1.2928550324487059E-3</c:v>
                  </c:pt>
                  <c:pt idx="1">
                    <c:v>6.0227848357766178E-4</c:v>
                  </c:pt>
                  <c:pt idx="2">
                    <c:v>1.5082095043521537E-3</c:v>
                  </c:pt>
                  <c:pt idx="3">
                    <c:v>4.0667624301259364E-3</c:v>
                  </c:pt>
                  <c:pt idx="4">
                    <c:v>7.2172002992701434E-4</c:v>
                  </c:pt>
                  <c:pt idx="5">
                    <c:v>1.7122001111077173E-3</c:v>
                  </c:pt>
                  <c:pt idx="6">
                    <c:v>3.9115680590924573E-3</c:v>
                  </c:pt>
                  <c:pt idx="7">
                    <c:v>8.260046119082376E-4</c:v>
                  </c:pt>
                  <c:pt idx="8">
                    <c:v>1.7468237566640177E-3</c:v>
                  </c:pt>
                </c:numCache>
              </c:numRef>
            </c:minus>
            <c:spPr>
              <a:noFill/>
              <a:ln w="9525" cap="flat" cmpd="sng" algn="ctr">
                <a:solidFill>
                  <a:schemeClr val="tx1">
                    <a:lumMod val="65000"/>
                    <a:lumOff val="35000"/>
                  </a:schemeClr>
                </a:solidFill>
                <a:round/>
              </a:ln>
              <a:effectLst/>
            </c:spPr>
          </c:errBars>
          <c:cat>
            <c:multiLvlStrRef>
              <c:f>FIGURES!$BS$296:$BT$304</c:f>
              <c:multiLvlStrCache>
                <c:ptCount val="9"/>
                <c:lvl>
                  <c:pt idx="0">
                    <c:v>Road - Container - Diesel</c:v>
                  </c:pt>
                  <c:pt idx="1">
                    <c:v>Road - Container - Battery</c:v>
                  </c:pt>
                  <c:pt idx="2">
                    <c:v>Road - Container - Hydrogen</c:v>
                  </c:pt>
                  <c:pt idx="3">
                    <c:v>Road - Container - Diesel</c:v>
                  </c:pt>
                  <c:pt idx="4">
                    <c:v>Road - Container - Battery</c:v>
                  </c:pt>
                  <c:pt idx="5">
                    <c:v>Road - Container - Hydrogen</c:v>
                  </c:pt>
                  <c:pt idx="6">
                    <c:v>Road - Container - Diesel</c:v>
                  </c:pt>
                  <c:pt idx="7">
                    <c:v>Road - Container - Battery</c:v>
                  </c:pt>
                  <c:pt idx="8">
                    <c:v>Road - Container - Hydrogen</c:v>
                  </c:pt>
                </c:lvl>
                <c:lvl>
                  <c:pt idx="0">
                    <c:v>2023</c:v>
                  </c:pt>
                  <c:pt idx="3">
                    <c:v>2034</c:v>
                  </c:pt>
                  <c:pt idx="6">
                    <c:v>2050</c:v>
                  </c:pt>
                </c:lvl>
              </c:multiLvlStrCache>
            </c:multiLvlStrRef>
          </c:cat>
          <c:val>
            <c:numRef>
              <c:f>FIGURES!$CB$296:$CB$304</c:f>
              <c:numCache>
                <c:formatCode>General</c:formatCode>
                <c:ptCount val="9"/>
                <c:pt idx="0">
                  <c:v>7.4999956937941573E-3</c:v>
                </c:pt>
                <c:pt idx="1">
                  <c:v>4.8598821824262202E-3</c:v>
                </c:pt>
                <c:pt idx="2">
                  <c:v>1.7662855635614476E-2</c:v>
                </c:pt>
                <c:pt idx="3">
                  <c:v>5.4476320290995812E-3</c:v>
                </c:pt>
                <c:pt idx="4">
                  <c:v>4.3849921608221393E-3</c:v>
                </c:pt>
                <c:pt idx="5">
                  <c:v>1.1998664665103829E-2</c:v>
                </c:pt>
                <c:pt idx="6">
                  <c:v>4.1127344164172217E-3</c:v>
                </c:pt>
                <c:pt idx="7">
                  <c:v>3.6038550798649727E-3</c:v>
                </c:pt>
                <c:pt idx="8">
                  <c:v>7.486376912485577E-3</c:v>
                </c:pt>
              </c:numCache>
            </c:numRef>
          </c:val>
          <c:extLst>
            <c:ext xmlns:c16="http://schemas.microsoft.com/office/drawing/2014/chart" uri="{C3380CC4-5D6E-409C-BE32-E72D297353CC}">
              <c16:uniqueId val="{00000007-D451-4FB0-BDC0-4ACDDE23F893}"/>
            </c:ext>
          </c:extLst>
        </c:ser>
        <c:dLbls>
          <c:showLegendKey val="0"/>
          <c:showVal val="0"/>
          <c:showCatName val="0"/>
          <c:showSerName val="0"/>
          <c:showPercent val="0"/>
          <c:showBubbleSize val="0"/>
        </c:dLbls>
        <c:gapWidth val="150"/>
        <c:overlap val="100"/>
        <c:axId val="835505200"/>
        <c:axId val="835504544"/>
      </c:barChart>
      <c:catAx>
        <c:axId val="83550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35504544"/>
        <c:crosses val="autoZero"/>
        <c:auto val="1"/>
        <c:lblAlgn val="ctr"/>
        <c:lblOffset val="100"/>
        <c:noMultiLvlLbl val="0"/>
      </c:catAx>
      <c:valAx>
        <c:axId val="835504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35505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FIGURES!$A$574</c:f>
              <c:strCache>
                <c:ptCount val="1"/>
                <c:pt idx="0">
                  <c:v>Electricity Low</c:v>
                </c:pt>
              </c:strCache>
            </c:strRef>
          </c:tx>
          <c:spPr>
            <a:ln w="28575" cap="rnd">
              <a:solidFill>
                <a:schemeClr val="accent1"/>
              </a:solidFill>
              <a:round/>
            </a:ln>
            <a:effectLst/>
          </c:spPr>
          <c:marker>
            <c:symbol val="none"/>
          </c:marker>
          <c:cat>
            <c:numRef>
              <c:f>FIGURES!$B$573:$AD$573</c:f>
              <c:numCache>
                <c:formatCode>General</c:formatCode>
                <c:ptCount val="29"/>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FIGURES!$B$574:$AD$574</c:f>
              <c:numCache>
                <c:formatCode>General</c:formatCode>
                <c:ptCount val="29"/>
                <c:pt idx="0">
                  <c:v>75.233329810000001</c:v>
                </c:pt>
                <c:pt idx="1">
                  <c:v>75.233329810000001</c:v>
                </c:pt>
                <c:pt idx="2">
                  <c:v>75.233329810000001</c:v>
                </c:pt>
                <c:pt idx="3">
                  <c:v>75.233329810000001</c:v>
                </c:pt>
                <c:pt idx="4">
                  <c:v>75.233329810000001</c:v>
                </c:pt>
                <c:pt idx="5">
                  <c:v>75.233329810000001</c:v>
                </c:pt>
                <c:pt idx="6">
                  <c:v>75.233329810000001</c:v>
                </c:pt>
                <c:pt idx="7">
                  <c:v>75.233329810000001</c:v>
                </c:pt>
                <c:pt idx="8">
                  <c:v>76.599996340000004</c:v>
                </c:pt>
                <c:pt idx="9">
                  <c:v>77.966662870000008</c:v>
                </c:pt>
                <c:pt idx="10">
                  <c:v>79.333329400000011</c:v>
                </c:pt>
                <c:pt idx="11">
                  <c:v>80.699995930000014</c:v>
                </c:pt>
                <c:pt idx="12">
                  <c:v>82.066662460000003</c:v>
                </c:pt>
                <c:pt idx="13">
                  <c:v>81.106662556000003</c:v>
                </c:pt>
                <c:pt idx="14">
                  <c:v>80.146662651999989</c:v>
                </c:pt>
                <c:pt idx="15">
                  <c:v>79.186662747999989</c:v>
                </c:pt>
                <c:pt idx="16">
                  <c:v>78.226662843999989</c:v>
                </c:pt>
                <c:pt idx="17">
                  <c:v>77.266662939999989</c:v>
                </c:pt>
                <c:pt idx="18">
                  <c:v>76.306663035999989</c:v>
                </c:pt>
                <c:pt idx="19">
                  <c:v>75.346663131999989</c:v>
                </c:pt>
                <c:pt idx="20">
                  <c:v>74.386663227999989</c:v>
                </c:pt>
                <c:pt idx="21">
                  <c:v>73.426663323999989</c:v>
                </c:pt>
                <c:pt idx="22">
                  <c:v>72.466663419999989</c:v>
                </c:pt>
                <c:pt idx="23">
                  <c:v>71.506663515999989</c:v>
                </c:pt>
                <c:pt idx="24">
                  <c:v>70.546663611999989</c:v>
                </c:pt>
                <c:pt idx="25">
                  <c:v>69.586663707999989</c:v>
                </c:pt>
                <c:pt idx="26">
                  <c:v>68.626663803999989</c:v>
                </c:pt>
                <c:pt idx="27">
                  <c:v>67.666663899999989</c:v>
                </c:pt>
              </c:numCache>
            </c:numRef>
          </c:val>
          <c:smooth val="0"/>
          <c:extLst>
            <c:ext xmlns:c16="http://schemas.microsoft.com/office/drawing/2014/chart" uri="{C3380CC4-5D6E-409C-BE32-E72D297353CC}">
              <c16:uniqueId val="{00000000-DE02-4ED6-B908-13385F98D0F8}"/>
            </c:ext>
          </c:extLst>
        </c:ser>
        <c:ser>
          <c:idx val="1"/>
          <c:order val="1"/>
          <c:tx>
            <c:strRef>
              <c:f>FIGURES!$A$575</c:f>
              <c:strCache>
                <c:ptCount val="1"/>
                <c:pt idx="0">
                  <c:v>Hydrogen Low</c:v>
                </c:pt>
              </c:strCache>
            </c:strRef>
          </c:tx>
          <c:spPr>
            <a:ln w="28575" cap="rnd">
              <a:solidFill>
                <a:schemeClr val="accent2"/>
              </a:solidFill>
              <a:round/>
            </a:ln>
            <a:effectLst/>
          </c:spPr>
          <c:marker>
            <c:symbol val="none"/>
          </c:marker>
          <c:cat>
            <c:numRef>
              <c:f>FIGURES!$B$573:$AD$573</c:f>
              <c:numCache>
                <c:formatCode>General</c:formatCode>
                <c:ptCount val="29"/>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FIGURES!$B$575:$AD$575</c:f>
              <c:numCache>
                <c:formatCode>General</c:formatCode>
                <c:ptCount val="29"/>
                <c:pt idx="0">
                  <c:v>167.55030740877731</c:v>
                </c:pt>
                <c:pt idx="1">
                  <c:v>162.46311320948743</c:v>
                </c:pt>
                <c:pt idx="2">
                  <c:v>157.37591901019761</c:v>
                </c:pt>
                <c:pt idx="3">
                  <c:v>153.90105952791075</c:v>
                </c:pt>
                <c:pt idx="4">
                  <c:v>150.42620004562392</c:v>
                </c:pt>
                <c:pt idx="5">
                  <c:v>146.95134056333706</c:v>
                </c:pt>
                <c:pt idx="6">
                  <c:v>143.47648108105025</c:v>
                </c:pt>
                <c:pt idx="7">
                  <c:v>140.00162159876336</c:v>
                </c:pt>
                <c:pt idx="8">
                  <c:v>139.28851087301348</c:v>
                </c:pt>
                <c:pt idx="9">
                  <c:v>138.57540014726354</c:v>
                </c:pt>
                <c:pt idx="10">
                  <c:v>137.86228942151365</c:v>
                </c:pt>
                <c:pt idx="11">
                  <c:v>137.14917869576374</c:v>
                </c:pt>
                <c:pt idx="12">
                  <c:v>136.43606797001385</c:v>
                </c:pt>
                <c:pt idx="13">
                  <c:v>132.94825106115047</c:v>
                </c:pt>
                <c:pt idx="14">
                  <c:v>129.46043415228706</c:v>
                </c:pt>
                <c:pt idx="15">
                  <c:v>125.97261724342368</c:v>
                </c:pt>
                <c:pt idx="16">
                  <c:v>122.48480033456028</c:v>
                </c:pt>
                <c:pt idx="17">
                  <c:v>118.99698342569687</c:v>
                </c:pt>
                <c:pt idx="18">
                  <c:v>115.78161519050339</c:v>
                </c:pt>
                <c:pt idx="19">
                  <c:v>112.56624695530989</c:v>
                </c:pt>
                <c:pt idx="20">
                  <c:v>109.35087872011641</c:v>
                </c:pt>
                <c:pt idx="21">
                  <c:v>106.13551048492292</c:v>
                </c:pt>
                <c:pt idx="22">
                  <c:v>102.92014224972944</c:v>
                </c:pt>
                <c:pt idx="23">
                  <c:v>100.28722302472504</c:v>
                </c:pt>
                <c:pt idx="24">
                  <c:v>97.654303799720651</c:v>
                </c:pt>
                <c:pt idx="25">
                  <c:v>95.021384574716265</c:v>
                </c:pt>
                <c:pt idx="26">
                  <c:v>92.388465349711865</c:v>
                </c:pt>
                <c:pt idx="27">
                  <c:v>89.755546124707479</c:v>
                </c:pt>
              </c:numCache>
            </c:numRef>
          </c:val>
          <c:smooth val="0"/>
          <c:extLst>
            <c:ext xmlns:c16="http://schemas.microsoft.com/office/drawing/2014/chart" uri="{C3380CC4-5D6E-409C-BE32-E72D297353CC}">
              <c16:uniqueId val="{00000001-DE02-4ED6-B908-13385F98D0F8}"/>
            </c:ext>
          </c:extLst>
        </c:ser>
        <c:ser>
          <c:idx val="2"/>
          <c:order val="2"/>
          <c:tx>
            <c:strRef>
              <c:f>FIGURES!$A$576</c:f>
              <c:strCache>
                <c:ptCount val="1"/>
                <c:pt idx="0">
                  <c:v>Ammonia Low</c:v>
                </c:pt>
              </c:strCache>
            </c:strRef>
          </c:tx>
          <c:spPr>
            <a:ln w="28575" cap="rnd">
              <a:solidFill>
                <a:schemeClr val="accent3"/>
              </a:solidFill>
              <a:round/>
            </a:ln>
            <a:effectLst/>
          </c:spPr>
          <c:marker>
            <c:symbol val="none"/>
          </c:marker>
          <c:cat>
            <c:numRef>
              <c:f>FIGURES!$B$573:$AD$573</c:f>
              <c:numCache>
                <c:formatCode>General</c:formatCode>
                <c:ptCount val="29"/>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FIGURES!$B$576:$AD$576</c:f>
              <c:numCache>
                <c:formatCode>General</c:formatCode>
                <c:ptCount val="29"/>
                <c:pt idx="0">
                  <c:v>147.85151321799879</c:v>
                </c:pt>
                <c:pt idx="1">
                  <c:v>144.16734608940908</c:v>
                </c:pt>
                <c:pt idx="2">
                  <c:v>140.4831789608194</c:v>
                </c:pt>
                <c:pt idx="3">
                  <c:v>138.15902447403704</c:v>
                </c:pt>
                <c:pt idx="4">
                  <c:v>135.83486998725471</c:v>
                </c:pt>
                <c:pt idx="5">
                  <c:v>133.5107155004724</c:v>
                </c:pt>
                <c:pt idx="6">
                  <c:v>131.18656101369007</c:v>
                </c:pt>
                <c:pt idx="7">
                  <c:v>128.86240652690771</c:v>
                </c:pt>
                <c:pt idx="8">
                  <c:v>129.52442606744893</c:v>
                </c:pt>
                <c:pt idx="9">
                  <c:v>130.18644560799015</c:v>
                </c:pt>
                <c:pt idx="10">
                  <c:v>130.84846514853137</c:v>
                </c:pt>
                <c:pt idx="11">
                  <c:v>131.5104846890726</c:v>
                </c:pt>
                <c:pt idx="12">
                  <c:v>132.17250422961382</c:v>
                </c:pt>
                <c:pt idx="13">
                  <c:v>129.28218732240185</c:v>
                </c:pt>
                <c:pt idx="14">
                  <c:v>126.3918704151899</c:v>
                </c:pt>
                <c:pt idx="15">
                  <c:v>123.50155350797795</c:v>
                </c:pt>
                <c:pt idx="16">
                  <c:v>120.61123660076601</c:v>
                </c:pt>
                <c:pt idx="17">
                  <c:v>117.72091969355404</c:v>
                </c:pt>
                <c:pt idx="18">
                  <c:v>115.08473489323738</c:v>
                </c:pt>
                <c:pt idx="19">
                  <c:v>112.44855009292071</c:v>
                </c:pt>
                <c:pt idx="20">
                  <c:v>109.81236529260403</c:v>
                </c:pt>
                <c:pt idx="21">
                  <c:v>107.17618049228736</c:v>
                </c:pt>
                <c:pt idx="22">
                  <c:v>104.5399956919707</c:v>
                </c:pt>
                <c:pt idx="23">
                  <c:v>102.03375570164211</c:v>
                </c:pt>
                <c:pt idx="24">
                  <c:v>99.527515711313512</c:v>
                </c:pt>
                <c:pt idx="25">
                  <c:v>97.021275720984917</c:v>
                </c:pt>
                <c:pt idx="26">
                  <c:v>94.515035730656322</c:v>
                </c:pt>
                <c:pt idx="27">
                  <c:v>92.008795740327727</c:v>
                </c:pt>
              </c:numCache>
            </c:numRef>
          </c:val>
          <c:smooth val="0"/>
          <c:extLst>
            <c:ext xmlns:c16="http://schemas.microsoft.com/office/drawing/2014/chart" uri="{C3380CC4-5D6E-409C-BE32-E72D297353CC}">
              <c16:uniqueId val="{00000002-DE02-4ED6-B908-13385F98D0F8}"/>
            </c:ext>
          </c:extLst>
        </c:ser>
        <c:ser>
          <c:idx val="3"/>
          <c:order val="3"/>
          <c:tx>
            <c:strRef>
              <c:f>FIGURES!$A$577</c:f>
              <c:strCache>
                <c:ptCount val="1"/>
                <c:pt idx="0">
                  <c:v>Methanol Low</c:v>
                </c:pt>
              </c:strCache>
            </c:strRef>
          </c:tx>
          <c:spPr>
            <a:ln w="28575" cap="rnd">
              <a:solidFill>
                <a:schemeClr val="accent4"/>
              </a:solidFill>
              <a:round/>
            </a:ln>
            <a:effectLst/>
          </c:spPr>
          <c:marker>
            <c:symbol val="none"/>
          </c:marker>
          <c:cat>
            <c:numRef>
              <c:f>FIGURES!$B$573:$AD$573</c:f>
              <c:numCache>
                <c:formatCode>General</c:formatCode>
                <c:ptCount val="29"/>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FIGURES!$B$577:$AD$577</c:f>
              <c:numCache>
                <c:formatCode>General</c:formatCode>
                <c:ptCount val="29"/>
                <c:pt idx="0">
                  <c:v>327.41318944512034</c:v>
                </c:pt>
                <c:pt idx="1">
                  <c:v>312.81277713864336</c:v>
                </c:pt>
                <c:pt idx="2">
                  <c:v>298.21236483216632</c:v>
                </c:pt>
                <c:pt idx="3">
                  <c:v>285.14319769921502</c:v>
                </c:pt>
                <c:pt idx="4">
                  <c:v>272.07403056626373</c:v>
                </c:pt>
                <c:pt idx="5">
                  <c:v>259.00486343331244</c:v>
                </c:pt>
                <c:pt idx="6">
                  <c:v>245.93569630036112</c:v>
                </c:pt>
                <c:pt idx="7">
                  <c:v>232.86652916740982</c:v>
                </c:pt>
                <c:pt idx="8">
                  <c:v>225.87777574244078</c:v>
                </c:pt>
                <c:pt idx="9">
                  <c:v>218.88902231747173</c:v>
                </c:pt>
                <c:pt idx="10">
                  <c:v>211.90026889250268</c:v>
                </c:pt>
                <c:pt idx="11">
                  <c:v>204.91151546753363</c:v>
                </c:pt>
                <c:pt idx="12">
                  <c:v>197.92276204256467</c:v>
                </c:pt>
                <c:pt idx="13">
                  <c:v>190.46603197751216</c:v>
                </c:pt>
                <c:pt idx="14">
                  <c:v>183.00930191245968</c:v>
                </c:pt>
                <c:pt idx="15">
                  <c:v>175.55257184740719</c:v>
                </c:pt>
                <c:pt idx="16">
                  <c:v>168.09584178235468</c:v>
                </c:pt>
                <c:pt idx="17">
                  <c:v>160.63911171730211</c:v>
                </c:pt>
                <c:pt idx="18">
                  <c:v>155.56274856986607</c:v>
                </c:pt>
                <c:pt idx="19">
                  <c:v>150.48638542243003</c:v>
                </c:pt>
                <c:pt idx="20">
                  <c:v>145.41002227499399</c:v>
                </c:pt>
                <c:pt idx="21">
                  <c:v>140.33365912755798</c:v>
                </c:pt>
                <c:pt idx="22">
                  <c:v>135.25729598012194</c:v>
                </c:pt>
                <c:pt idx="23">
                  <c:v>131.72162740387634</c:v>
                </c:pt>
                <c:pt idx="24">
                  <c:v>128.18595882763074</c:v>
                </c:pt>
                <c:pt idx="25">
                  <c:v>124.65029025138512</c:v>
                </c:pt>
                <c:pt idx="26">
                  <c:v>121.1146216751395</c:v>
                </c:pt>
                <c:pt idx="27">
                  <c:v>117.57895309889392</c:v>
                </c:pt>
              </c:numCache>
            </c:numRef>
          </c:val>
          <c:smooth val="0"/>
          <c:extLst>
            <c:ext xmlns:c16="http://schemas.microsoft.com/office/drawing/2014/chart" uri="{C3380CC4-5D6E-409C-BE32-E72D297353CC}">
              <c16:uniqueId val="{00000003-DE02-4ED6-B908-13385F98D0F8}"/>
            </c:ext>
          </c:extLst>
        </c:ser>
        <c:ser>
          <c:idx val="4"/>
          <c:order val="4"/>
          <c:tx>
            <c:strRef>
              <c:f>FIGURES!$A$578</c:f>
              <c:strCache>
                <c:ptCount val="1"/>
                <c:pt idx="0">
                  <c:v>Diesel Low</c:v>
                </c:pt>
              </c:strCache>
            </c:strRef>
          </c:tx>
          <c:spPr>
            <a:ln w="28575" cap="rnd">
              <a:solidFill>
                <a:schemeClr val="accent5"/>
              </a:solidFill>
              <a:round/>
            </a:ln>
            <a:effectLst/>
          </c:spPr>
          <c:marker>
            <c:symbol val="none"/>
          </c:marker>
          <c:cat>
            <c:numRef>
              <c:f>FIGURES!$B$573:$AD$573</c:f>
              <c:numCache>
                <c:formatCode>General</c:formatCode>
                <c:ptCount val="29"/>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FIGURES!$B$578:$AD$578</c:f>
              <c:numCache>
                <c:formatCode>General</c:formatCode>
                <c:ptCount val="29"/>
                <c:pt idx="0">
                  <c:v>57.951260504201684</c:v>
                </c:pt>
                <c:pt idx="1">
                  <c:v>53.9546218487395</c:v>
                </c:pt>
                <c:pt idx="2">
                  <c:v>49.957983193277315</c:v>
                </c:pt>
                <c:pt idx="3">
                  <c:v>45.96134453781513</c:v>
                </c:pt>
                <c:pt idx="4">
                  <c:v>41.964705882352945</c:v>
                </c:pt>
                <c:pt idx="5">
                  <c:v>37.968067226890767</c:v>
                </c:pt>
                <c:pt idx="6">
                  <c:v>33.971428571428582</c:v>
                </c:pt>
                <c:pt idx="7">
                  <c:v>29.97478991596639</c:v>
                </c:pt>
                <c:pt idx="8">
                  <c:v>29.368157262905164</c:v>
                </c:pt>
                <c:pt idx="9">
                  <c:v>28.761524609843939</c:v>
                </c:pt>
                <c:pt idx="10">
                  <c:v>28.154891956782713</c:v>
                </c:pt>
                <c:pt idx="11">
                  <c:v>27.548259303721487</c:v>
                </c:pt>
                <c:pt idx="12">
                  <c:v>26.941626650660268</c:v>
                </c:pt>
                <c:pt idx="13">
                  <c:v>26.334993997599042</c:v>
                </c:pt>
                <c:pt idx="14">
                  <c:v>25.728361344537817</c:v>
                </c:pt>
                <c:pt idx="15">
                  <c:v>25.121728691476591</c:v>
                </c:pt>
                <c:pt idx="16">
                  <c:v>24.515096038415365</c:v>
                </c:pt>
                <c:pt idx="17">
                  <c:v>23.908463385354146</c:v>
                </c:pt>
                <c:pt idx="18">
                  <c:v>23.30183073229292</c:v>
                </c:pt>
                <c:pt idx="19">
                  <c:v>22.695198079231695</c:v>
                </c:pt>
                <c:pt idx="20">
                  <c:v>22.088565426170469</c:v>
                </c:pt>
                <c:pt idx="21">
                  <c:v>21.481932773109243</c:v>
                </c:pt>
                <c:pt idx="22">
                  <c:v>20.875300120048024</c:v>
                </c:pt>
                <c:pt idx="23">
                  <c:v>20.268667466986798</c:v>
                </c:pt>
                <c:pt idx="24">
                  <c:v>19.662034813925573</c:v>
                </c:pt>
                <c:pt idx="25">
                  <c:v>19.055402160864347</c:v>
                </c:pt>
                <c:pt idx="26">
                  <c:v>18.448769507803121</c:v>
                </c:pt>
                <c:pt idx="27">
                  <c:v>17.842136854741899</c:v>
                </c:pt>
              </c:numCache>
            </c:numRef>
          </c:val>
          <c:smooth val="0"/>
          <c:extLst>
            <c:ext xmlns:c16="http://schemas.microsoft.com/office/drawing/2014/chart" uri="{C3380CC4-5D6E-409C-BE32-E72D297353CC}">
              <c16:uniqueId val="{00000004-DE02-4ED6-B908-13385F98D0F8}"/>
            </c:ext>
          </c:extLst>
        </c:ser>
        <c:ser>
          <c:idx val="5"/>
          <c:order val="5"/>
          <c:tx>
            <c:strRef>
              <c:f>FIGURES!$A$579</c:f>
              <c:strCache>
                <c:ptCount val="1"/>
                <c:pt idx="0">
                  <c:v>MGO Low</c:v>
                </c:pt>
              </c:strCache>
            </c:strRef>
          </c:tx>
          <c:spPr>
            <a:ln w="28575" cap="rnd">
              <a:solidFill>
                <a:schemeClr val="accent6"/>
              </a:solidFill>
              <a:round/>
            </a:ln>
            <a:effectLst/>
          </c:spPr>
          <c:marker>
            <c:symbol val="none"/>
          </c:marker>
          <c:cat>
            <c:numRef>
              <c:f>FIGURES!$B$573:$AD$573</c:f>
              <c:numCache>
                <c:formatCode>General</c:formatCode>
                <c:ptCount val="29"/>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FIGURES!$B$579:$AD$579</c:f>
              <c:numCache>
                <c:formatCode>General</c:formatCode>
                <c:ptCount val="29"/>
                <c:pt idx="0">
                  <c:v>57.951260504201684</c:v>
                </c:pt>
                <c:pt idx="1">
                  <c:v>53.9546218487395</c:v>
                </c:pt>
                <c:pt idx="2">
                  <c:v>49.957983193277315</c:v>
                </c:pt>
                <c:pt idx="3">
                  <c:v>45.96134453781513</c:v>
                </c:pt>
                <c:pt idx="4">
                  <c:v>41.964705882352945</c:v>
                </c:pt>
                <c:pt idx="5">
                  <c:v>37.968067226890767</c:v>
                </c:pt>
                <c:pt idx="6">
                  <c:v>33.971428571428582</c:v>
                </c:pt>
                <c:pt idx="7">
                  <c:v>29.97478991596639</c:v>
                </c:pt>
                <c:pt idx="8">
                  <c:v>29.368157262905164</c:v>
                </c:pt>
                <c:pt idx="9">
                  <c:v>28.761524609843939</c:v>
                </c:pt>
                <c:pt idx="10">
                  <c:v>28.154891956782713</c:v>
                </c:pt>
                <c:pt idx="11">
                  <c:v>27.548259303721487</c:v>
                </c:pt>
                <c:pt idx="12">
                  <c:v>26.941626650660268</c:v>
                </c:pt>
                <c:pt idx="13">
                  <c:v>26.334993997599042</c:v>
                </c:pt>
                <c:pt idx="14">
                  <c:v>25.728361344537817</c:v>
                </c:pt>
                <c:pt idx="15">
                  <c:v>25.121728691476591</c:v>
                </c:pt>
                <c:pt idx="16">
                  <c:v>24.515096038415365</c:v>
                </c:pt>
                <c:pt idx="17">
                  <c:v>23.908463385354146</c:v>
                </c:pt>
                <c:pt idx="18">
                  <c:v>23.30183073229292</c:v>
                </c:pt>
                <c:pt idx="19">
                  <c:v>22.695198079231695</c:v>
                </c:pt>
                <c:pt idx="20">
                  <c:v>22.088565426170469</c:v>
                </c:pt>
                <c:pt idx="21">
                  <c:v>21.481932773109243</c:v>
                </c:pt>
                <c:pt idx="22">
                  <c:v>20.875300120048024</c:v>
                </c:pt>
                <c:pt idx="23">
                  <c:v>20.268667466986798</c:v>
                </c:pt>
                <c:pt idx="24">
                  <c:v>19.662034813925573</c:v>
                </c:pt>
                <c:pt idx="25">
                  <c:v>19.055402160864347</c:v>
                </c:pt>
                <c:pt idx="26">
                  <c:v>18.448769507803121</c:v>
                </c:pt>
                <c:pt idx="27">
                  <c:v>17.842136854741899</c:v>
                </c:pt>
              </c:numCache>
            </c:numRef>
          </c:val>
          <c:smooth val="0"/>
          <c:extLst>
            <c:ext xmlns:c16="http://schemas.microsoft.com/office/drawing/2014/chart" uri="{C3380CC4-5D6E-409C-BE32-E72D297353CC}">
              <c16:uniqueId val="{00000005-DE02-4ED6-B908-13385F98D0F8}"/>
            </c:ext>
          </c:extLst>
        </c:ser>
        <c:ser>
          <c:idx val="6"/>
          <c:order val="6"/>
          <c:tx>
            <c:strRef>
              <c:f>FIGURES!$A$580</c:f>
              <c:strCache>
                <c:ptCount val="1"/>
                <c:pt idx="0">
                  <c:v>HFO Low</c:v>
                </c:pt>
              </c:strCache>
            </c:strRef>
          </c:tx>
          <c:spPr>
            <a:ln w="28575" cap="rnd">
              <a:solidFill>
                <a:schemeClr val="accent1">
                  <a:lumMod val="60000"/>
                </a:schemeClr>
              </a:solidFill>
              <a:round/>
            </a:ln>
            <a:effectLst/>
          </c:spPr>
          <c:marker>
            <c:symbol val="none"/>
          </c:marker>
          <c:cat>
            <c:numRef>
              <c:f>FIGURES!$B$573:$AD$573</c:f>
              <c:numCache>
                <c:formatCode>General</c:formatCode>
                <c:ptCount val="29"/>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FIGURES!$B$580:$AD$580</c:f>
              <c:numCache>
                <c:formatCode>General</c:formatCode>
                <c:ptCount val="29"/>
                <c:pt idx="0">
                  <c:v>25.977890665149555</c:v>
                </c:pt>
                <c:pt idx="1">
                  <c:v>24.18631199858752</c:v>
                </c:pt>
                <c:pt idx="2">
                  <c:v>22.394733332025478</c:v>
                </c:pt>
                <c:pt idx="3">
                  <c:v>20.603154665463439</c:v>
                </c:pt>
                <c:pt idx="4">
                  <c:v>18.811575998901404</c:v>
                </c:pt>
                <c:pt idx="5">
                  <c:v>17.019997332339365</c:v>
                </c:pt>
                <c:pt idx="6">
                  <c:v>15.228418665777328</c:v>
                </c:pt>
                <c:pt idx="7">
                  <c:v>13.436839999215287</c:v>
                </c:pt>
                <c:pt idx="8">
                  <c:v>13.164903951612121</c:v>
                </c:pt>
                <c:pt idx="9">
                  <c:v>12.892967904008955</c:v>
                </c:pt>
                <c:pt idx="10">
                  <c:v>12.621031856405788</c:v>
                </c:pt>
                <c:pt idx="11">
                  <c:v>12.349095808802621</c:v>
                </c:pt>
                <c:pt idx="12">
                  <c:v>12.077159761199454</c:v>
                </c:pt>
                <c:pt idx="13">
                  <c:v>11.805223713596286</c:v>
                </c:pt>
                <c:pt idx="14">
                  <c:v>11.53328766599312</c:v>
                </c:pt>
                <c:pt idx="15">
                  <c:v>11.261351618389954</c:v>
                </c:pt>
                <c:pt idx="16">
                  <c:v>10.989415570786786</c:v>
                </c:pt>
                <c:pt idx="17">
                  <c:v>10.717479523183622</c:v>
                </c:pt>
                <c:pt idx="18">
                  <c:v>10.445543475580456</c:v>
                </c:pt>
                <c:pt idx="19">
                  <c:v>10.173607427977288</c:v>
                </c:pt>
                <c:pt idx="20">
                  <c:v>9.9016713803741219</c:v>
                </c:pt>
                <c:pt idx="21">
                  <c:v>9.6297353327709558</c:v>
                </c:pt>
                <c:pt idx="22">
                  <c:v>9.357799285167788</c:v>
                </c:pt>
                <c:pt idx="23">
                  <c:v>9.085863237564622</c:v>
                </c:pt>
                <c:pt idx="24">
                  <c:v>8.813927189961456</c:v>
                </c:pt>
                <c:pt idx="25">
                  <c:v>8.5419911423582882</c:v>
                </c:pt>
                <c:pt idx="26">
                  <c:v>8.2700550947551221</c:v>
                </c:pt>
                <c:pt idx="27">
                  <c:v>7.9981190471519561</c:v>
                </c:pt>
              </c:numCache>
            </c:numRef>
          </c:val>
          <c:smooth val="0"/>
          <c:extLst>
            <c:ext xmlns:c16="http://schemas.microsoft.com/office/drawing/2014/chart" uri="{C3380CC4-5D6E-409C-BE32-E72D297353CC}">
              <c16:uniqueId val="{00000006-DE02-4ED6-B908-13385F98D0F8}"/>
            </c:ext>
          </c:extLst>
        </c:ser>
        <c:ser>
          <c:idx val="7"/>
          <c:order val="7"/>
          <c:tx>
            <c:strRef>
              <c:f>FIGURES!$A$581</c:f>
              <c:strCache>
                <c:ptCount val="1"/>
                <c:pt idx="0">
                  <c:v>Electricity Base</c:v>
                </c:pt>
              </c:strCache>
            </c:strRef>
          </c:tx>
          <c:spPr>
            <a:ln w="28575" cap="rnd">
              <a:solidFill>
                <a:schemeClr val="accent2">
                  <a:lumMod val="60000"/>
                </a:schemeClr>
              </a:solidFill>
              <a:round/>
            </a:ln>
            <a:effectLst/>
          </c:spPr>
          <c:marker>
            <c:symbol val="none"/>
          </c:marker>
          <c:cat>
            <c:numRef>
              <c:f>FIGURES!$B$573:$AD$573</c:f>
              <c:numCache>
                <c:formatCode>General</c:formatCode>
                <c:ptCount val="29"/>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FIGURES!$B$581:$AD$581</c:f>
              <c:numCache>
                <c:formatCode>General</c:formatCode>
                <c:ptCount val="29"/>
                <c:pt idx="0">
                  <c:v>80.999995900000002</c:v>
                </c:pt>
                <c:pt idx="1">
                  <c:v>80.999995900000002</c:v>
                </c:pt>
                <c:pt idx="2">
                  <c:v>80.999995900000002</c:v>
                </c:pt>
                <c:pt idx="3">
                  <c:v>80.999995900000002</c:v>
                </c:pt>
                <c:pt idx="4">
                  <c:v>80.999995900000002</c:v>
                </c:pt>
                <c:pt idx="5">
                  <c:v>80.999995900000002</c:v>
                </c:pt>
                <c:pt idx="6">
                  <c:v>80.999995900000002</c:v>
                </c:pt>
                <c:pt idx="7">
                  <c:v>80.999995900000002</c:v>
                </c:pt>
                <c:pt idx="8">
                  <c:v>83.066662359999995</c:v>
                </c:pt>
                <c:pt idx="9">
                  <c:v>85.133328820000003</c:v>
                </c:pt>
                <c:pt idx="10">
                  <c:v>87.19999528000001</c:v>
                </c:pt>
                <c:pt idx="11">
                  <c:v>89.266661740000018</c:v>
                </c:pt>
                <c:pt idx="12">
                  <c:v>91.333328199999997</c:v>
                </c:pt>
                <c:pt idx="13">
                  <c:v>90.466661619999996</c:v>
                </c:pt>
                <c:pt idx="14">
                  <c:v>89.599995039999996</c:v>
                </c:pt>
                <c:pt idx="15">
                  <c:v>88.733328459999981</c:v>
                </c:pt>
                <c:pt idx="16">
                  <c:v>87.866661879999981</c:v>
                </c:pt>
                <c:pt idx="17">
                  <c:v>86.999995299999995</c:v>
                </c:pt>
                <c:pt idx="18">
                  <c:v>86.13332871999998</c:v>
                </c:pt>
                <c:pt idx="19">
                  <c:v>85.266662139999994</c:v>
                </c:pt>
                <c:pt idx="20">
                  <c:v>84.399995559999979</c:v>
                </c:pt>
                <c:pt idx="21">
                  <c:v>83.533328979999979</c:v>
                </c:pt>
                <c:pt idx="22">
                  <c:v>82.666662399999993</c:v>
                </c:pt>
                <c:pt idx="23">
                  <c:v>81.799995819999978</c:v>
                </c:pt>
                <c:pt idx="24">
                  <c:v>80.933329239999992</c:v>
                </c:pt>
                <c:pt idx="25">
                  <c:v>80.066662659999977</c:v>
                </c:pt>
                <c:pt idx="26">
                  <c:v>79.199996079999991</c:v>
                </c:pt>
                <c:pt idx="27">
                  <c:v>78.333329499999991</c:v>
                </c:pt>
              </c:numCache>
            </c:numRef>
          </c:val>
          <c:smooth val="0"/>
          <c:extLst>
            <c:ext xmlns:c16="http://schemas.microsoft.com/office/drawing/2014/chart" uri="{C3380CC4-5D6E-409C-BE32-E72D297353CC}">
              <c16:uniqueId val="{00000007-DE02-4ED6-B908-13385F98D0F8}"/>
            </c:ext>
          </c:extLst>
        </c:ser>
        <c:ser>
          <c:idx val="8"/>
          <c:order val="8"/>
          <c:tx>
            <c:strRef>
              <c:f>FIGURES!$A$582</c:f>
              <c:strCache>
                <c:ptCount val="1"/>
                <c:pt idx="0">
                  <c:v>Hydrogen Base</c:v>
                </c:pt>
              </c:strCache>
            </c:strRef>
          </c:tx>
          <c:spPr>
            <a:ln w="28575" cap="rnd">
              <a:solidFill>
                <a:schemeClr val="accent3">
                  <a:lumMod val="60000"/>
                </a:schemeClr>
              </a:solidFill>
              <a:round/>
            </a:ln>
            <a:effectLst/>
          </c:spPr>
          <c:marker>
            <c:symbol val="none"/>
          </c:marker>
          <c:cat>
            <c:numRef>
              <c:f>FIGURES!$B$573:$AD$573</c:f>
              <c:numCache>
                <c:formatCode>General</c:formatCode>
                <c:ptCount val="29"/>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FIGURES!$B$582:$AD$582</c:f>
              <c:numCache>
                <c:formatCode>General</c:formatCode>
                <c:ptCount val="29"/>
                <c:pt idx="0">
                  <c:v>176.50758633144633</c:v>
                </c:pt>
                <c:pt idx="1">
                  <c:v>171.41203646151962</c:v>
                </c:pt>
                <c:pt idx="2">
                  <c:v>166.31648659159296</c:v>
                </c:pt>
                <c:pt idx="3">
                  <c:v>162.81432766630948</c:v>
                </c:pt>
                <c:pt idx="4">
                  <c:v>159.31216874102603</c:v>
                </c:pt>
                <c:pt idx="5">
                  <c:v>155.81000981574255</c:v>
                </c:pt>
                <c:pt idx="6">
                  <c:v>152.30785089045909</c:v>
                </c:pt>
                <c:pt idx="7">
                  <c:v>148.80569196517558</c:v>
                </c:pt>
                <c:pt idx="8">
                  <c:v>149.09793604375517</c:v>
                </c:pt>
                <c:pt idx="9">
                  <c:v>149.39018012233475</c:v>
                </c:pt>
                <c:pt idx="10">
                  <c:v>149.68242420091434</c:v>
                </c:pt>
                <c:pt idx="11">
                  <c:v>149.9746682794939</c:v>
                </c:pt>
                <c:pt idx="12">
                  <c:v>150.26691235807354</c:v>
                </c:pt>
                <c:pt idx="13">
                  <c:v>146.85063279900345</c:v>
                </c:pt>
                <c:pt idx="14">
                  <c:v>143.43435323993333</c:v>
                </c:pt>
                <c:pt idx="15">
                  <c:v>140.01807368086324</c:v>
                </c:pt>
                <c:pt idx="16">
                  <c:v>136.60179412179315</c:v>
                </c:pt>
                <c:pt idx="17">
                  <c:v>133.18551456272309</c:v>
                </c:pt>
                <c:pt idx="18">
                  <c:v>130.03016708307891</c:v>
                </c:pt>
                <c:pt idx="19">
                  <c:v>126.87481960343472</c:v>
                </c:pt>
                <c:pt idx="20">
                  <c:v>123.71947212379052</c:v>
                </c:pt>
                <c:pt idx="21">
                  <c:v>120.56412464414635</c:v>
                </c:pt>
                <c:pt idx="22">
                  <c:v>117.40877716450215</c:v>
                </c:pt>
                <c:pt idx="23">
                  <c:v>114.83288597039363</c:v>
                </c:pt>
                <c:pt idx="24">
                  <c:v>112.25699477628511</c:v>
                </c:pt>
                <c:pt idx="25">
                  <c:v>109.68110358217659</c:v>
                </c:pt>
                <c:pt idx="26">
                  <c:v>107.10521238806807</c:v>
                </c:pt>
                <c:pt idx="27">
                  <c:v>104.52932119395956</c:v>
                </c:pt>
              </c:numCache>
            </c:numRef>
          </c:val>
          <c:smooth val="0"/>
          <c:extLst>
            <c:ext xmlns:c16="http://schemas.microsoft.com/office/drawing/2014/chart" uri="{C3380CC4-5D6E-409C-BE32-E72D297353CC}">
              <c16:uniqueId val="{00000008-DE02-4ED6-B908-13385F98D0F8}"/>
            </c:ext>
          </c:extLst>
        </c:ser>
        <c:ser>
          <c:idx val="9"/>
          <c:order val="9"/>
          <c:tx>
            <c:strRef>
              <c:f>FIGURES!$A$583</c:f>
              <c:strCache>
                <c:ptCount val="1"/>
                <c:pt idx="0">
                  <c:v>Ammonia Base</c:v>
                </c:pt>
              </c:strCache>
            </c:strRef>
          </c:tx>
          <c:spPr>
            <a:ln w="28575" cap="rnd">
              <a:solidFill>
                <a:schemeClr val="accent4">
                  <a:lumMod val="60000"/>
                </a:schemeClr>
              </a:solidFill>
              <a:round/>
            </a:ln>
            <a:effectLst/>
          </c:spPr>
          <c:marker>
            <c:symbol val="none"/>
          </c:marker>
          <c:cat>
            <c:numRef>
              <c:f>FIGURES!$B$573:$AD$573</c:f>
              <c:numCache>
                <c:formatCode>General</c:formatCode>
                <c:ptCount val="29"/>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FIGURES!$B$583:$AD$583</c:f>
              <c:numCache>
                <c:formatCode>General</c:formatCode>
                <c:ptCount val="29"/>
                <c:pt idx="0">
                  <c:v>157.96068463848832</c:v>
                </c:pt>
                <c:pt idx="1">
                  <c:v>154.26708731267803</c:v>
                </c:pt>
                <c:pt idx="2">
                  <c:v>150.57348998686771</c:v>
                </c:pt>
                <c:pt idx="3">
                  <c:v>148.21852539008219</c:v>
                </c:pt>
                <c:pt idx="4">
                  <c:v>145.86356079329661</c:v>
                </c:pt>
                <c:pt idx="5">
                  <c:v>143.50859619651109</c:v>
                </c:pt>
                <c:pt idx="6">
                  <c:v>141.15363159972554</c:v>
                </c:pt>
                <c:pt idx="7">
                  <c:v>138.79866700293996</c:v>
                </c:pt>
                <c:pt idx="8">
                  <c:v>140.5953284523826</c:v>
                </c:pt>
                <c:pt idx="9">
                  <c:v>142.39198990182524</c:v>
                </c:pt>
                <c:pt idx="10">
                  <c:v>144.18865135126788</c:v>
                </c:pt>
                <c:pt idx="11">
                  <c:v>145.98531280071055</c:v>
                </c:pt>
                <c:pt idx="12">
                  <c:v>147.78197425015313</c:v>
                </c:pt>
                <c:pt idx="13">
                  <c:v>144.97239428752798</c:v>
                </c:pt>
                <c:pt idx="14">
                  <c:v>142.16281432490285</c:v>
                </c:pt>
                <c:pt idx="15">
                  <c:v>139.3532343622777</c:v>
                </c:pt>
                <c:pt idx="16">
                  <c:v>136.54365439965255</c:v>
                </c:pt>
                <c:pt idx="17">
                  <c:v>133.7340744370274</c:v>
                </c:pt>
                <c:pt idx="18">
                  <c:v>131.16562897048311</c:v>
                </c:pt>
                <c:pt idx="19">
                  <c:v>128.59718350393888</c:v>
                </c:pt>
                <c:pt idx="20">
                  <c:v>126.02873803739459</c:v>
                </c:pt>
                <c:pt idx="21">
                  <c:v>123.4602925708503</c:v>
                </c:pt>
                <c:pt idx="22">
                  <c:v>120.89184710430604</c:v>
                </c:pt>
                <c:pt idx="23">
                  <c:v>118.44996886324041</c:v>
                </c:pt>
                <c:pt idx="24">
                  <c:v>116.00809062217481</c:v>
                </c:pt>
                <c:pt idx="25">
                  <c:v>113.5662123811092</c:v>
                </c:pt>
                <c:pt idx="26">
                  <c:v>111.12433414004359</c:v>
                </c:pt>
                <c:pt idx="27">
                  <c:v>108.68245589897795</c:v>
                </c:pt>
              </c:numCache>
            </c:numRef>
          </c:val>
          <c:smooth val="0"/>
          <c:extLst>
            <c:ext xmlns:c16="http://schemas.microsoft.com/office/drawing/2014/chart" uri="{C3380CC4-5D6E-409C-BE32-E72D297353CC}">
              <c16:uniqueId val="{00000009-DE02-4ED6-B908-13385F98D0F8}"/>
            </c:ext>
          </c:extLst>
        </c:ser>
        <c:ser>
          <c:idx val="10"/>
          <c:order val="10"/>
          <c:tx>
            <c:strRef>
              <c:f>FIGURES!$A$584</c:f>
              <c:strCache>
                <c:ptCount val="1"/>
                <c:pt idx="0">
                  <c:v>Methanol Base</c:v>
                </c:pt>
              </c:strCache>
            </c:strRef>
          </c:tx>
          <c:spPr>
            <a:ln w="28575" cap="rnd">
              <a:solidFill>
                <a:schemeClr val="accent5">
                  <a:lumMod val="60000"/>
                </a:schemeClr>
              </a:solidFill>
              <a:round/>
            </a:ln>
            <a:effectLst/>
          </c:spPr>
          <c:marker>
            <c:symbol val="none"/>
          </c:marker>
          <c:cat>
            <c:numRef>
              <c:f>FIGURES!$B$573:$AD$573</c:f>
              <c:numCache>
                <c:formatCode>General</c:formatCode>
                <c:ptCount val="29"/>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FIGURES!$B$584:$AD$584</c:f>
              <c:numCache>
                <c:formatCode>General</c:formatCode>
                <c:ptCount val="29"/>
                <c:pt idx="0">
                  <c:v>338.60978809845653</c:v>
                </c:pt>
                <c:pt idx="1">
                  <c:v>323.99893120368358</c:v>
                </c:pt>
                <c:pt idx="2">
                  <c:v>309.38807430891057</c:v>
                </c:pt>
                <c:pt idx="3">
                  <c:v>296.2847828722135</c:v>
                </c:pt>
                <c:pt idx="4">
                  <c:v>283.18149143551642</c:v>
                </c:pt>
                <c:pt idx="5">
                  <c:v>270.07819999881934</c:v>
                </c:pt>
                <c:pt idx="6">
                  <c:v>256.97490856212227</c:v>
                </c:pt>
                <c:pt idx="7">
                  <c:v>243.87161712542508</c:v>
                </c:pt>
                <c:pt idx="8">
                  <c:v>238.1395572058679</c:v>
                </c:pt>
                <c:pt idx="9">
                  <c:v>232.40749728631073</c:v>
                </c:pt>
                <c:pt idx="10">
                  <c:v>226.67543736675356</c:v>
                </c:pt>
                <c:pt idx="11">
                  <c:v>220.94337744719638</c:v>
                </c:pt>
                <c:pt idx="12">
                  <c:v>215.21131752763924</c:v>
                </c:pt>
                <c:pt idx="13">
                  <c:v>207.84400914982837</c:v>
                </c:pt>
                <c:pt idx="14">
                  <c:v>200.47670077201749</c:v>
                </c:pt>
                <c:pt idx="15">
                  <c:v>193.10939239420657</c:v>
                </c:pt>
                <c:pt idx="16">
                  <c:v>185.74208401639569</c:v>
                </c:pt>
                <c:pt idx="17">
                  <c:v>178.37477563858488</c:v>
                </c:pt>
                <c:pt idx="18">
                  <c:v>173.37343843558548</c:v>
                </c:pt>
                <c:pt idx="19">
                  <c:v>168.37210123258603</c:v>
                </c:pt>
                <c:pt idx="20">
                  <c:v>163.37076402958661</c:v>
                </c:pt>
                <c:pt idx="21">
                  <c:v>158.36942682658722</c:v>
                </c:pt>
                <c:pt idx="22">
                  <c:v>153.36808962358782</c:v>
                </c:pt>
                <c:pt idx="23">
                  <c:v>149.90370608596206</c:v>
                </c:pt>
                <c:pt idx="24">
                  <c:v>146.43932254833629</c:v>
                </c:pt>
                <c:pt idx="25">
                  <c:v>142.97493901071056</c:v>
                </c:pt>
                <c:pt idx="26">
                  <c:v>139.51055547308479</c:v>
                </c:pt>
                <c:pt idx="27">
                  <c:v>136.046171935459</c:v>
                </c:pt>
              </c:numCache>
            </c:numRef>
          </c:val>
          <c:smooth val="0"/>
          <c:extLst>
            <c:ext xmlns:c16="http://schemas.microsoft.com/office/drawing/2014/chart" uri="{C3380CC4-5D6E-409C-BE32-E72D297353CC}">
              <c16:uniqueId val="{0000000A-DE02-4ED6-B908-13385F98D0F8}"/>
            </c:ext>
          </c:extLst>
        </c:ser>
        <c:ser>
          <c:idx val="11"/>
          <c:order val="11"/>
          <c:tx>
            <c:strRef>
              <c:f>FIGURES!$A$585</c:f>
              <c:strCache>
                <c:ptCount val="1"/>
                <c:pt idx="0">
                  <c:v>Diesel Base</c:v>
                </c:pt>
              </c:strCache>
            </c:strRef>
          </c:tx>
          <c:spPr>
            <a:ln w="28575" cap="rnd">
              <a:solidFill>
                <a:schemeClr val="accent6">
                  <a:lumMod val="60000"/>
                </a:schemeClr>
              </a:solidFill>
              <a:round/>
            </a:ln>
            <a:effectLst/>
          </c:spPr>
          <c:marker>
            <c:symbol val="none"/>
          </c:marker>
          <c:cat>
            <c:numRef>
              <c:f>FIGURES!$B$573:$AD$573</c:f>
              <c:numCache>
                <c:formatCode>General</c:formatCode>
                <c:ptCount val="29"/>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FIGURES!$B$585:$AD$585</c:f>
              <c:numCache>
                <c:formatCode>General</c:formatCode>
                <c:ptCount val="29"/>
                <c:pt idx="0">
                  <c:v>64.802641056422573</c:v>
                </c:pt>
                <c:pt idx="1">
                  <c:v>63.089795918367344</c:v>
                </c:pt>
                <c:pt idx="2">
                  <c:v>61.376950780312129</c:v>
                </c:pt>
                <c:pt idx="3">
                  <c:v>59.664105642256906</c:v>
                </c:pt>
                <c:pt idx="4">
                  <c:v>57.951260504201692</c:v>
                </c:pt>
                <c:pt idx="5">
                  <c:v>56.238415366146477</c:v>
                </c:pt>
                <c:pt idx="6">
                  <c:v>54.525570228091254</c:v>
                </c:pt>
                <c:pt idx="7">
                  <c:v>52.812725090036025</c:v>
                </c:pt>
                <c:pt idx="8">
                  <c:v>52.313145258103255</c:v>
                </c:pt>
                <c:pt idx="9">
                  <c:v>51.813565426170477</c:v>
                </c:pt>
                <c:pt idx="10">
                  <c:v>51.313985594237707</c:v>
                </c:pt>
                <c:pt idx="11">
                  <c:v>50.814405762304936</c:v>
                </c:pt>
                <c:pt idx="12">
                  <c:v>50.314825930372152</c:v>
                </c:pt>
                <c:pt idx="13">
                  <c:v>49.815246098439381</c:v>
                </c:pt>
                <c:pt idx="14">
                  <c:v>49.315666266506611</c:v>
                </c:pt>
                <c:pt idx="15">
                  <c:v>48.81608643457384</c:v>
                </c:pt>
                <c:pt idx="16">
                  <c:v>48.316506602641063</c:v>
                </c:pt>
                <c:pt idx="17">
                  <c:v>47.816926770708292</c:v>
                </c:pt>
                <c:pt idx="18">
                  <c:v>47.317346938775522</c:v>
                </c:pt>
                <c:pt idx="19">
                  <c:v>46.817767106842744</c:v>
                </c:pt>
                <c:pt idx="20">
                  <c:v>46.318187274909974</c:v>
                </c:pt>
                <c:pt idx="21">
                  <c:v>45.818607442977203</c:v>
                </c:pt>
                <c:pt idx="22">
                  <c:v>45.319027611044426</c:v>
                </c:pt>
                <c:pt idx="23">
                  <c:v>44.819447779111655</c:v>
                </c:pt>
                <c:pt idx="24">
                  <c:v>44.319867947178885</c:v>
                </c:pt>
                <c:pt idx="25">
                  <c:v>43.820288115246107</c:v>
                </c:pt>
                <c:pt idx="26">
                  <c:v>43.320708283313337</c:v>
                </c:pt>
                <c:pt idx="27">
                  <c:v>42.821128451380567</c:v>
                </c:pt>
              </c:numCache>
            </c:numRef>
          </c:val>
          <c:smooth val="0"/>
          <c:extLst>
            <c:ext xmlns:c16="http://schemas.microsoft.com/office/drawing/2014/chart" uri="{C3380CC4-5D6E-409C-BE32-E72D297353CC}">
              <c16:uniqueId val="{0000000B-DE02-4ED6-B908-13385F98D0F8}"/>
            </c:ext>
          </c:extLst>
        </c:ser>
        <c:ser>
          <c:idx val="12"/>
          <c:order val="12"/>
          <c:tx>
            <c:strRef>
              <c:f>FIGURES!$A$586</c:f>
              <c:strCache>
                <c:ptCount val="1"/>
                <c:pt idx="0">
                  <c:v>MGO Base</c:v>
                </c:pt>
              </c:strCache>
            </c:strRef>
          </c:tx>
          <c:spPr>
            <a:ln w="28575" cap="rnd">
              <a:solidFill>
                <a:schemeClr val="accent1">
                  <a:lumMod val="80000"/>
                  <a:lumOff val="20000"/>
                </a:schemeClr>
              </a:solidFill>
              <a:round/>
            </a:ln>
            <a:effectLst/>
          </c:spPr>
          <c:marker>
            <c:symbol val="none"/>
          </c:marker>
          <c:cat>
            <c:numRef>
              <c:f>FIGURES!$B$573:$AD$573</c:f>
              <c:numCache>
                <c:formatCode>General</c:formatCode>
                <c:ptCount val="29"/>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FIGURES!$B$586:$AD$586</c:f>
              <c:numCache>
                <c:formatCode>General</c:formatCode>
                <c:ptCount val="29"/>
                <c:pt idx="0">
                  <c:v>64.802641056422573</c:v>
                </c:pt>
                <c:pt idx="1">
                  <c:v>63.089795918367344</c:v>
                </c:pt>
                <c:pt idx="2">
                  <c:v>61.376950780312129</c:v>
                </c:pt>
                <c:pt idx="3">
                  <c:v>59.664105642256906</c:v>
                </c:pt>
                <c:pt idx="4">
                  <c:v>57.951260504201692</c:v>
                </c:pt>
                <c:pt idx="5">
                  <c:v>56.238415366146477</c:v>
                </c:pt>
                <c:pt idx="6">
                  <c:v>54.525570228091254</c:v>
                </c:pt>
                <c:pt idx="7">
                  <c:v>52.812725090036025</c:v>
                </c:pt>
                <c:pt idx="8">
                  <c:v>52.313145258103255</c:v>
                </c:pt>
                <c:pt idx="9">
                  <c:v>51.813565426170477</c:v>
                </c:pt>
                <c:pt idx="10">
                  <c:v>51.313985594237707</c:v>
                </c:pt>
                <c:pt idx="11">
                  <c:v>50.814405762304936</c:v>
                </c:pt>
                <c:pt idx="12">
                  <c:v>50.314825930372152</c:v>
                </c:pt>
                <c:pt idx="13">
                  <c:v>49.815246098439381</c:v>
                </c:pt>
                <c:pt idx="14">
                  <c:v>49.315666266506611</c:v>
                </c:pt>
                <c:pt idx="15">
                  <c:v>48.81608643457384</c:v>
                </c:pt>
                <c:pt idx="16">
                  <c:v>48.316506602641063</c:v>
                </c:pt>
                <c:pt idx="17">
                  <c:v>47.816926770708292</c:v>
                </c:pt>
                <c:pt idx="18">
                  <c:v>47.317346938775522</c:v>
                </c:pt>
                <c:pt idx="19">
                  <c:v>46.817767106842744</c:v>
                </c:pt>
                <c:pt idx="20">
                  <c:v>46.318187274909974</c:v>
                </c:pt>
                <c:pt idx="21">
                  <c:v>45.818607442977203</c:v>
                </c:pt>
                <c:pt idx="22">
                  <c:v>45.319027611044426</c:v>
                </c:pt>
                <c:pt idx="23">
                  <c:v>44.819447779111655</c:v>
                </c:pt>
                <c:pt idx="24">
                  <c:v>44.319867947178885</c:v>
                </c:pt>
                <c:pt idx="25">
                  <c:v>43.820288115246107</c:v>
                </c:pt>
                <c:pt idx="26">
                  <c:v>43.320708283313337</c:v>
                </c:pt>
                <c:pt idx="27">
                  <c:v>42.821128451380567</c:v>
                </c:pt>
              </c:numCache>
            </c:numRef>
          </c:val>
          <c:smooth val="0"/>
          <c:extLst>
            <c:ext xmlns:c16="http://schemas.microsoft.com/office/drawing/2014/chart" uri="{C3380CC4-5D6E-409C-BE32-E72D297353CC}">
              <c16:uniqueId val="{0000000C-DE02-4ED6-B908-13385F98D0F8}"/>
            </c:ext>
          </c:extLst>
        </c:ser>
        <c:ser>
          <c:idx val="13"/>
          <c:order val="13"/>
          <c:tx>
            <c:strRef>
              <c:f>FIGURES!$A$587</c:f>
              <c:strCache>
                <c:ptCount val="1"/>
                <c:pt idx="0">
                  <c:v>HFO Base</c:v>
                </c:pt>
              </c:strCache>
            </c:strRef>
          </c:tx>
          <c:spPr>
            <a:ln w="28575" cap="rnd">
              <a:solidFill>
                <a:schemeClr val="accent2">
                  <a:lumMod val="80000"/>
                  <a:lumOff val="20000"/>
                </a:schemeClr>
              </a:solidFill>
              <a:round/>
            </a:ln>
            <a:effectLst/>
          </c:spPr>
          <c:marker>
            <c:symbol val="none"/>
          </c:marker>
          <c:cat>
            <c:numRef>
              <c:f>FIGURES!$B$573:$AD$573</c:f>
              <c:numCache>
                <c:formatCode>General</c:formatCode>
                <c:ptCount val="29"/>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FIGURES!$B$587:$AD$587</c:f>
              <c:numCache>
                <c:formatCode>General</c:formatCode>
                <c:ptCount val="29"/>
                <c:pt idx="0">
                  <c:v>29.049168379255899</c:v>
                </c:pt>
                <c:pt idx="1">
                  <c:v>28.281348950729313</c:v>
                </c:pt>
                <c:pt idx="2">
                  <c:v>27.513529522202727</c:v>
                </c:pt>
                <c:pt idx="3">
                  <c:v>26.745710093676138</c:v>
                </c:pt>
                <c:pt idx="4">
                  <c:v>25.977890665149552</c:v>
                </c:pt>
                <c:pt idx="5">
                  <c:v>25.210071236622962</c:v>
                </c:pt>
                <c:pt idx="6">
                  <c:v>24.442251808096373</c:v>
                </c:pt>
                <c:pt idx="7">
                  <c:v>23.67443237956979</c:v>
                </c:pt>
                <c:pt idx="8">
                  <c:v>23.450485046249536</c:v>
                </c:pt>
                <c:pt idx="9">
                  <c:v>23.226537712929279</c:v>
                </c:pt>
                <c:pt idx="10">
                  <c:v>23.002590379609025</c:v>
                </c:pt>
                <c:pt idx="11">
                  <c:v>22.778643046288771</c:v>
                </c:pt>
                <c:pt idx="12">
                  <c:v>22.554695712968513</c:v>
                </c:pt>
                <c:pt idx="13">
                  <c:v>22.330748379648259</c:v>
                </c:pt>
                <c:pt idx="14">
                  <c:v>22.106801046328002</c:v>
                </c:pt>
                <c:pt idx="15">
                  <c:v>21.882853713007748</c:v>
                </c:pt>
                <c:pt idx="16">
                  <c:v>21.65890637968749</c:v>
                </c:pt>
                <c:pt idx="17">
                  <c:v>21.434959046367243</c:v>
                </c:pt>
                <c:pt idx="18">
                  <c:v>21.21101171304699</c:v>
                </c:pt>
                <c:pt idx="19">
                  <c:v>20.987064379726732</c:v>
                </c:pt>
                <c:pt idx="20">
                  <c:v>20.763117046406478</c:v>
                </c:pt>
                <c:pt idx="21">
                  <c:v>20.539169713086221</c:v>
                </c:pt>
                <c:pt idx="22">
                  <c:v>20.315222379765974</c:v>
                </c:pt>
                <c:pt idx="23">
                  <c:v>20.091275046445716</c:v>
                </c:pt>
                <c:pt idx="24">
                  <c:v>19.867327713125462</c:v>
                </c:pt>
                <c:pt idx="25">
                  <c:v>19.643380379805208</c:v>
                </c:pt>
                <c:pt idx="26">
                  <c:v>19.419433046484951</c:v>
                </c:pt>
                <c:pt idx="27">
                  <c:v>19.1954857131647</c:v>
                </c:pt>
              </c:numCache>
            </c:numRef>
          </c:val>
          <c:smooth val="0"/>
          <c:extLst>
            <c:ext xmlns:c16="http://schemas.microsoft.com/office/drawing/2014/chart" uri="{C3380CC4-5D6E-409C-BE32-E72D297353CC}">
              <c16:uniqueId val="{0000000D-DE02-4ED6-B908-13385F98D0F8}"/>
            </c:ext>
          </c:extLst>
        </c:ser>
        <c:ser>
          <c:idx val="14"/>
          <c:order val="14"/>
          <c:tx>
            <c:strRef>
              <c:f>FIGURES!$A$588</c:f>
              <c:strCache>
                <c:ptCount val="1"/>
                <c:pt idx="0">
                  <c:v>Electricity High</c:v>
                </c:pt>
              </c:strCache>
            </c:strRef>
          </c:tx>
          <c:spPr>
            <a:ln w="28575" cap="rnd">
              <a:solidFill>
                <a:schemeClr val="accent3">
                  <a:lumMod val="80000"/>
                  <a:lumOff val="20000"/>
                </a:schemeClr>
              </a:solidFill>
              <a:round/>
            </a:ln>
            <a:effectLst/>
          </c:spPr>
          <c:marker>
            <c:symbol val="none"/>
          </c:marker>
          <c:cat>
            <c:numRef>
              <c:f>FIGURES!$B$573:$AD$573</c:f>
              <c:numCache>
                <c:formatCode>General</c:formatCode>
                <c:ptCount val="29"/>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FIGURES!$B$588:$AD$588</c:f>
              <c:numCache>
                <c:formatCode>General</c:formatCode>
                <c:ptCount val="29"/>
                <c:pt idx="0">
                  <c:v>94.16666124999999</c:v>
                </c:pt>
                <c:pt idx="1">
                  <c:v>94.16666124999999</c:v>
                </c:pt>
                <c:pt idx="2">
                  <c:v>94.16666124999999</c:v>
                </c:pt>
                <c:pt idx="3">
                  <c:v>94.16666124999999</c:v>
                </c:pt>
                <c:pt idx="4">
                  <c:v>94.16666124999999</c:v>
                </c:pt>
                <c:pt idx="5">
                  <c:v>94.16666124999999</c:v>
                </c:pt>
                <c:pt idx="6">
                  <c:v>94.16666124999999</c:v>
                </c:pt>
                <c:pt idx="7">
                  <c:v>94.16666124999999</c:v>
                </c:pt>
                <c:pt idx="8">
                  <c:v>95.999994399999991</c:v>
                </c:pt>
                <c:pt idx="9">
                  <c:v>97.833327550000007</c:v>
                </c:pt>
                <c:pt idx="10">
                  <c:v>99.666660700000008</c:v>
                </c:pt>
                <c:pt idx="11">
                  <c:v>101.49999385000001</c:v>
                </c:pt>
                <c:pt idx="12">
                  <c:v>103.333327</c:v>
                </c:pt>
                <c:pt idx="13">
                  <c:v>102.33332709999999</c:v>
                </c:pt>
                <c:pt idx="14">
                  <c:v>101.33332719999999</c:v>
                </c:pt>
                <c:pt idx="15">
                  <c:v>100.33332729999998</c:v>
                </c:pt>
                <c:pt idx="16">
                  <c:v>99.333327399999973</c:v>
                </c:pt>
                <c:pt idx="17">
                  <c:v>98.333327499999996</c:v>
                </c:pt>
                <c:pt idx="18">
                  <c:v>97.33332759999999</c:v>
                </c:pt>
                <c:pt idx="19">
                  <c:v>96.333327699999984</c:v>
                </c:pt>
                <c:pt idx="20">
                  <c:v>95.333327799999978</c:v>
                </c:pt>
                <c:pt idx="21">
                  <c:v>94.333327899999986</c:v>
                </c:pt>
                <c:pt idx="22">
                  <c:v>93.333328000000009</c:v>
                </c:pt>
                <c:pt idx="23">
                  <c:v>92.333328100000003</c:v>
                </c:pt>
                <c:pt idx="24">
                  <c:v>91.333328199999997</c:v>
                </c:pt>
                <c:pt idx="25">
                  <c:v>90.333328299999991</c:v>
                </c:pt>
                <c:pt idx="26">
                  <c:v>89.333328399999985</c:v>
                </c:pt>
                <c:pt idx="27">
                  <c:v>88.333328500000022</c:v>
                </c:pt>
              </c:numCache>
            </c:numRef>
          </c:val>
          <c:smooth val="0"/>
          <c:extLst>
            <c:ext xmlns:c16="http://schemas.microsoft.com/office/drawing/2014/chart" uri="{C3380CC4-5D6E-409C-BE32-E72D297353CC}">
              <c16:uniqueId val="{0000000E-DE02-4ED6-B908-13385F98D0F8}"/>
            </c:ext>
          </c:extLst>
        </c:ser>
        <c:ser>
          <c:idx val="15"/>
          <c:order val="15"/>
          <c:tx>
            <c:strRef>
              <c:f>FIGURES!$A$589</c:f>
              <c:strCache>
                <c:ptCount val="1"/>
                <c:pt idx="0">
                  <c:v>Hydrogen High</c:v>
                </c:pt>
              </c:strCache>
            </c:strRef>
          </c:tx>
          <c:spPr>
            <a:ln w="28575" cap="rnd">
              <a:solidFill>
                <a:schemeClr val="accent4">
                  <a:lumMod val="80000"/>
                  <a:lumOff val="20000"/>
                </a:schemeClr>
              </a:solidFill>
              <a:round/>
            </a:ln>
            <a:effectLst/>
          </c:spPr>
          <c:marker>
            <c:symbol val="none"/>
          </c:marker>
          <c:cat>
            <c:numRef>
              <c:f>FIGURES!$B$573:$AD$573</c:f>
              <c:numCache>
                <c:formatCode>General</c:formatCode>
                <c:ptCount val="29"/>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FIGURES!$B$589:$AD$589</c:f>
              <c:numCache>
                <c:formatCode>General</c:formatCode>
                <c:ptCount val="29"/>
                <c:pt idx="0">
                  <c:v>196.95917693522813</c:v>
                </c:pt>
                <c:pt idx="1">
                  <c:v>191.8445490889919</c:v>
                </c:pt>
                <c:pt idx="2">
                  <c:v>186.72992124275569</c:v>
                </c:pt>
                <c:pt idx="3">
                  <c:v>183.16543121930073</c:v>
                </c:pt>
                <c:pt idx="4">
                  <c:v>179.60094119584579</c:v>
                </c:pt>
                <c:pt idx="5">
                  <c:v>176.03645117239083</c:v>
                </c:pt>
                <c:pt idx="6">
                  <c:v>172.47196114893586</c:v>
                </c:pt>
                <c:pt idx="7">
                  <c:v>168.90747112548092</c:v>
                </c:pt>
                <c:pt idx="8">
                  <c:v>168.76144856602932</c:v>
                </c:pt>
                <c:pt idx="9">
                  <c:v>168.61542600657768</c:v>
                </c:pt>
                <c:pt idx="10">
                  <c:v>168.46940344712601</c:v>
                </c:pt>
                <c:pt idx="11">
                  <c:v>168.3233808876744</c:v>
                </c:pt>
                <c:pt idx="12">
                  <c:v>168.17735832822279</c:v>
                </c:pt>
                <c:pt idx="13">
                  <c:v>164.48316805908789</c:v>
                </c:pt>
                <c:pt idx="14">
                  <c:v>160.78897778995298</c:v>
                </c:pt>
                <c:pt idx="15">
                  <c:v>157.09478752081807</c:v>
                </c:pt>
                <c:pt idx="16">
                  <c:v>153.40059725168311</c:v>
                </c:pt>
                <c:pt idx="17">
                  <c:v>149.7064069825482</c:v>
                </c:pt>
                <c:pt idx="18">
                  <c:v>146.2771837462117</c:v>
                </c:pt>
                <c:pt idx="19">
                  <c:v>142.84796050987524</c:v>
                </c:pt>
                <c:pt idx="20">
                  <c:v>139.41873727353877</c:v>
                </c:pt>
                <c:pt idx="21">
                  <c:v>135.98951403720227</c:v>
                </c:pt>
                <c:pt idx="22">
                  <c:v>132.56029080086583</c:v>
                </c:pt>
                <c:pt idx="23">
                  <c:v>129.72417970496934</c:v>
                </c:pt>
                <c:pt idx="24">
                  <c:v>126.88806860907287</c:v>
                </c:pt>
                <c:pt idx="25">
                  <c:v>124.05195751317638</c:v>
                </c:pt>
                <c:pt idx="26">
                  <c:v>121.21584641727991</c:v>
                </c:pt>
                <c:pt idx="27">
                  <c:v>118.37973532138339</c:v>
                </c:pt>
              </c:numCache>
            </c:numRef>
          </c:val>
          <c:smooth val="0"/>
          <c:extLst>
            <c:ext xmlns:c16="http://schemas.microsoft.com/office/drawing/2014/chart" uri="{C3380CC4-5D6E-409C-BE32-E72D297353CC}">
              <c16:uniqueId val="{0000000F-DE02-4ED6-B908-13385F98D0F8}"/>
            </c:ext>
          </c:extLst>
        </c:ser>
        <c:ser>
          <c:idx val="16"/>
          <c:order val="16"/>
          <c:tx>
            <c:strRef>
              <c:f>FIGURES!$A$590</c:f>
              <c:strCache>
                <c:ptCount val="1"/>
                <c:pt idx="0">
                  <c:v>Ammonia High</c:v>
                </c:pt>
              </c:strCache>
            </c:strRef>
          </c:tx>
          <c:spPr>
            <a:ln w="28575" cap="rnd">
              <a:solidFill>
                <a:schemeClr val="accent5">
                  <a:lumMod val="80000"/>
                  <a:lumOff val="20000"/>
                </a:schemeClr>
              </a:solidFill>
              <a:round/>
            </a:ln>
            <a:effectLst/>
          </c:spPr>
          <c:marker>
            <c:symbol val="none"/>
          </c:marker>
          <c:cat>
            <c:numRef>
              <c:f>FIGURES!$B$573:$AD$573</c:f>
              <c:numCache>
                <c:formatCode>General</c:formatCode>
                <c:ptCount val="29"/>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FIGURES!$B$590:$AD$590</c:f>
              <c:numCache>
                <c:formatCode>General</c:formatCode>
                <c:ptCount val="29"/>
                <c:pt idx="0">
                  <c:v>181.04231880665793</c:v>
                </c:pt>
                <c:pt idx="1">
                  <c:v>177.32719010569079</c:v>
                </c:pt>
                <c:pt idx="2">
                  <c:v>173.61206140472353</c:v>
                </c:pt>
                <c:pt idx="3">
                  <c:v>171.1867500249827</c:v>
                </c:pt>
                <c:pt idx="4">
                  <c:v>168.76143864524187</c:v>
                </c:pt>
                <c:pt idx="5">
                  <c:v>166.33612726550103</c:v>
                </c:pt>
                <c:pt idx="6">
                  <c:v>163.9108158857602</c:v>
                </c:pt>
                <c:pt idx="7">
                  <c:v>161.48550450601945</c:v>
                </c:pt>
                <c:pt idx="8">
                  <c:v>162.78753889182042</c:v>
                </c:pt>
                <c:pt idx="9">
                  <c:v>164.08957327762138</c:v>
                </c:pt>
                <c:pt idx="10">
                  <c:v>165.39160766342235</c:v>
                </c:pt>
                <c:pt idx="11">
                  <c:v>166.69364204922331</c:v>
                </c:pt>
                <c:pt idx="12">
                  <c:v>167.99567643502425</c:v>
                </c:pt>
                <c:pt idx="13">
                  <c:v>164.87244686609677</c:v>
                </c:pt>
                <c:pt idx="14">
                  <c:v>161.74921729716922</c:v>
                </c:pt>
                <c:pt idx="15">
                  <c:v>158.62598772824177</c:v>
                </c:pt>
                <c:pt idx="16">
                  <c:v>155.50275815931428</c:v>
                </c:pt>
                <c:pt idx="17">
                  <c:v>152.3795285903868</c:v>
                </c:pt>
                <c:pt idx="18">
                  <c:v>149.50198735980291</c:v>
                </c:pt>
                <c:pt idx="19">
                  <c:v>146.624446129219</c:v>
                </c:pt>
                <c:pt idx="20">
                  <c:v>143.74690489863505</c:v>
                </c:pt>
                <c:pt idx="21">
                  <c:v>140.86936366805116</c:v>
                </c:pt>
                <c:pt idx="22">
                  <c:v>137.99182243746722</c:v>
                </c:pt>
                <c:pt idx="23">
                  <c:v>135.2562604095163</c:v>
                </c:pt>
                <c:pt idx="24">
                  <c:v>132.52069838156535</c:v>
                </c:pt>
                <c:pt idx="25">
                  <c:v>129.7851363536144</c:v>
                </c:pt>
                <c:pt idx="26">
                  <c:v>127.04957432566347</c:v>
                </c:pt>
                <c:pt idx="27">
                  <c:v>124.31401229771254</c:v>
                </c:pt>
              </c:numCache>
            </c:numRef>
          </c:val>
          <c:smooth val="0"/>
          <c:extLst>
            <c:ext xmlns:c16="http://schemas.microsoft.com/office/drawing/2014/chart" uri="{C3380CC4-5D6E-409C-BE32-E72D297353CC}">
              <c16:uniqueId val="{00000010-DE02-4ED6-B908-13385F98D0F8}"/>
            </c:ext>
          </c:extLst>
        </c:ser>
        <c:ser>
          <c:idx val="17"/>
          <c:order val="17"/>
          <c:tx>
            <c:strRef>
              <c:f>FIGURES!$A$591</c:f>
              <c:strCache>
                <c:ptCount val="1"/>
                <c:pt idx="0">
                  <c:v>Methanol High</c:v>
                </c:pt>
              </c:strCache>
            </c:strRef>
          </c:tx>
          <c:spPr>
            <a:ln w="28575" cap="rnd">
              <a:solidFill>
                <a:schemeClr val="accent6">
                  <a:lumMod val="80000"/>
                  <a:lumOff val="20000"/>
                </a:schemeClr>
              </a:solidFill>
              <a:round/>
            </a:ln>
            <a:effectLst/>
          </c:spPr>
          <c:marker>
            <c:symbol val="none"/>
          </c:marker>
          <c:cat>
            <c:numRef>
              <c:f>FIGURES!$B$573:$AD$573</c:f>
              <c:numCache>
                <c:formatCode>General</c:formatCode>
                <c:ptCount val="29"/>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FIGURES!$B$591:$AD$591</c:f>
              <c:numCache>
                <c:formatCode>General</c:formatCode>
                <c:ptCount val="29"/>
                <c:pt idx="0">
                  <c:v>364.17427635318364</c:v>
                </c:pt>
                <c:pt idx="1">
                  <c:v>349.53957198802379</c:v>
                </c:pt>
                <c:pt idx="2">
                  <c:v>334.90486762286406</c:v>
                </c:pt>
                <c:pt idx="3">
                  <c:v>321.72366231345256</c:v>
                </c:pt>
                <c:pt idx="4">
                  <c:v>308.54245700404113</c:v>
                </c:pt>
                <c:pt idx="5">
                  <c:v>295.36125169462969</c:v>
                </c:pt>
                <c:pt idx="6">
                  <c:v>282.18004638521825</c:v>
                </c:pt>
                <c:pt idx="7">
                  <c:v>268.99884107580675</c:v>
                </c:pt>
                <c:pt idx="8">
                  <c:v>262.71894785871058</c:v>
                </c:pt>
                <c:pt idx="9">
                  <c:v>256.4390546416144</c:v>
                </c:pt>
                <c:pt idx="10">
                  <c:v>250.15916142451826</c:v>
                </c:pt>
                <c:pt idx="11">
                  <c:v>243.87926820742209</c:v>
                </c:pt>
                <c:pt idx="12">
                  <c:v>237.59937499032586</c:v>
                </c:pt>
                <c:pt idx="13">
                  <c:v>229.88467822493394</c:v>
                </c:pt>
                <c:pt idx="14">
                  <c:v>222.16998145954204</c:v>
                </c:pt>
                <c:pt idx="15">
                  <c:v>214.45528469415012</c:v>
                </c:pt>
                <c:pt idx="16">
                  <c:v>206.7405879287582</c:v>
                </c:pt>
                <c:pt idx="17">
                  <c:v>199.02589116336625</c:v>
                </c:pt>
                <c:pt idx="18">
                  <c:v>193.68220926450147</c:v>
                </c:pt>
                <c:pt idx="19">
                  <c:v>188.33852736563668</c:v>
                </c:pt>
                <c:pt idx="20">
                  <c:v>182.99484546677189</c:v>
                </c:pt>
                <c:pt idx="21">
                  <c:v>177.6511635679071</c:v>
                </c:pt>
                <c:pt idx="22">
                  <c:v>172.3074816690424</c:v>
                </c:pt>
                <c:pt idx="23">
                  <c:v>168.51782325418165</c:v>
                </c:pt>
                <c:pt idx="24">
                  <c:v>164.72816483932095</c:v>
                </c:pt>
                <c:pt idx="25">
                  <c:v>160.93850642446026</c:v>
                </c:pt>
                <c:pt idx="26">
                  <c:v>157.14884800959956</c:v>
                </c:pt>
                <c:pt idx="27">
                  <c:v>153.35918959473878</c:v>
                </c:pt>
              </c:numCache>
            </c:numRef>
          </c:val>
          <c:smooth val="0"/>
          <c:extLst>
            <c:ext xmlns:c16="http://schemas.microsoft.com/office/drawing/2014/chart" uri="{C3380CC4-5D6E-409C-BE32-E72D297353CC}">
              <c16:uniqueId val="{00000011-DE02-4ED6-B908-13385F98D0F8}"/>
            </c:ext>
          </c:extLst>
        </c:ser>
        <c:ser>
          <c:idx val="18"/>
          <c:order val="18"/>
          <c:tx>
            <c:strRef>
              <c:f>FIGURES!$A$592</c:f>
              <c:strCache>
                <c:ptCount val="1"/>
                <c:pt idx="0">
                  <c:v>Diesel High</c:v>
                </c:pt>
              </c:strCache>
            </c:strRef>
          </c:tx>
          <c:spPr>
            <a:ln w="28575" cap="rnd">
              <a:solidFill>
                <a:schemeClr val="accent1">
                  <a:lumMod val="80000"/>
                </a:schemeClr>
              </a:solidFill>
              <a:round/>
            </a:ln>
            <a:effectLst/>
          </c:spPr>
          <c:marker>
            <c:symbol val="none"/>
          </c:marker>
          <c:cat>
            <c:numRef>
              <c:f>FIGURES!$B$573:$AD$573</c:f>
              <c:numCache>
                <c:formatCode>General</c:formatCode>
                <c:ptCount val="29"/>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FIGURES!$B$592:$AD$592</c:f>
              <c:numCache>
                <c:formatCode>General</c:formatCode>
                <c:ptCount val="29"/>
                <c:pt idx="0">
                  <c:v>67.157803121248492</c:v>
                </c:pt>
                <c:pt idx="1">
                  <c:v>66.230012004801907</c:v>
                </c:pt>
                <c:pt idx="2">
                  <c:v>65.302220888355336</c:v>
                </c:pt>
                <c:pt idx="3">
                  <c:v>64.374429771908765</c:v>
                </c:pt>
                <c:pt idx="4">
                  <c:v>63.446638655462195</c:v>
                </c:pt>
                <c:pt idx="5">
                  <c:v>62.518847539015624</c:v>
                </c:pt>
                <c:pt idx="6">
                  <c:v>61.591056422569046</c:v>
                </c:pt>
                <c:pt idx="7">
                  <c:v>60.663265306122454</c:v>
                </c:pt>
                <c:pt idx="8">
                  <c:v>60.591896758703491</c:v>
                </c:pt>
                <c:pt idx="9">
                  <c:v>60.520528211284521</c:v>
                </c:pt>
                <c:pt idx="10">
                  <c:v>60.449159663865558</c:v>
                </c:pt>
                <c:pt idx="11">
                  <c:v>60.377791116446588</c:v>
                </c:pt>
                <c:pt idx="12">
                  <c:v>60.306422569027617</c:v>
                </c:pt>
                <c:pt idx="13">
                  <c:v>60.235054021608647</c:v>
                </c:pt>
                <c:pt idx="14">
                  <c:v>60.163685474189684</c:v>
                </c:pt>
                <c:pt idx="15">
                  <c:v>60.092316926770714</c:v>
                </c:pt>
                <c:pt idx="16">
                  <c:v>60.020948379351751</c:v>
                </c:pt>
                <c:pt idx="17">
                  <c:v>59.94957983193278</c:v>
                </c:pt>
                <c:pt idx="18">
                  <c:v>59.878211284513817</c:v>
                </c:pt>
                <c:pt idx="19">
                  <c:v>59.806842737094847</c:v>
                </c:pt>
                <c:pt idx="20">
                  <c:v>59.735474189675884</c:v>
                </c:pt>
                <c:pt idx="21">
                  <c:v>59.664105642256914</c:v>
                </c:pt>
                <c:pt idx="22">
                  <c:v>59.59273709483795</c:v>
                </c:pt>
                <c:pt idx="23">
                  <c:v>59.52136854741898</c:v>
                </c:pt>
                <c:pt idx="24">
                  <c:v>59.450000000000017</c:v>
                </c:pt>
                <c:pt idx="25">
                  <c:v>59.378631452581047</c:v>
                </c:pt>
                <c:pt idx="26">
                  <c:v>59.307262905162084</c:v>
                </c:pt>
                <c:pt idx="27">
                  <c:v>59.235894357743113</c:v>
                </c:pt>
              </c:numCache>
            </c:numRef>
          </c:val>
          <c:smooth val="0"/>
          <c:extLst>
            <c:ext xmlns:c16="http://schemas.microsoft.com/office/drawing/2014/chart" uri="{C3380CC4-5D6E-409C-BE32-E72D297353CC}">
              <c16:uniqueId val="{00000012-DE02-4ED6-B908-13385F98D0F8}"/>
            </c:ext>
          </c:extLst>
        </c:ser>
        <c:ser>
          <c:idx val="19"/>
          <c:order val="19"/>
          <c:tx>
            <c:strRef>
              <c:f>FIGURES!$A$593</c:f>
              <c:strCache>
                <c:ptCount val="1"/>
                <c:pt idx="0">
                  <c:v>MGO High</c:v>
                </c:pt>
              </c:strCache>
            </c:strRef>
          </c:tx>
          <c:spPr>
            <a:ln w="28575" cap="rnd">
              <a:solidFill>
                <a:schemeClr val="accent2">
                  <a:lumMod val="80000"/>
                </a:schemeClr>
              </a:solidFill>
              <a:round/>
            </a:ln>
            <a:effectLst/>
          </c:spPr>
          <c:marker>
            <c:symbol val="none"/>
          </c:marker>
          <c:cat>
            <c:numRef>
              <c:f>FIGURES!$B$573:$AD$573</c:f>
              <c:numCache>
                <c:formatCode>General</c:formatCode>
                <c:ptCount val="29"/>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FIGURES!$B$593:$AD$593</c:f>
              <c:numCache>
                <c:formatCode>General</c:formatCode>
                <c:ptCount val="29"/>
                <c:pt idx="0">
                  <c:v>67.157803121248492</c:v>
                </c:pt>
                <c:pt idx="1">
                  <c:v>66.230012004801907</c:v>
                </c:pt>
                <c:pt idx="2">
                  <c:v>65.302220888355336</c:v>
                </c:pt>
                <c:pt idx="3">
                  <c:v>64.374429771908765</c:v>
                </c:pt>
                <c:pt idx="4">
                  <c:v>63.446638655462195</c:v>
                </c:pt>
                <c:pt idx="5">
                  <c:v>62.518847539015624</c:v>
                </c:pt>
                <c:pt idx="6">
                  <c:v>61.591056422569046</c:v>
                </c:pt>
                <c:pt idx="7">
                  <c:v>60.663265306122454</c:v>
                </c:pt>
                <c:pt idx="8">
                  <c:v>60.591896758703491</c:v>
                </c:pt>
                <c:pt idx="9">
                  <c:v>60.520528211284521</c:v>
                </c:pt>
                <c:pt idx="10">
                  <c:v>60.449159663865558</c:v>
                </c:pt>
                <c:pt idx="11">
                  <c:v>60.377791116446588</c:v>
                </c:pt>
                <c:pt idx="12">
                  <c:v>60.306422569027617</c:v>
                </c:pt>
                <c:pt idx="13">
                  <c:v>60.235054021608647</c:v>
                </c:pt>
                <c:pt idx="14">
                  <c:v>60.163685474189684</c:v>
                </c:pt>
                <c:pt idx="15">
                  <c:v>60.092316926770714</c:v>
                </c:pt>
                <c:pt idx="16">
                  <c:v>60.020948379351751</c:v>
                </c:pt>
                <c:pt idx="17">
                  <c:v>59.94957983193278</c:v>
                </c:pt>
                <c:pt idx="18">
                  <c:v>59.878211284513817</c:v>
                </c:pt>
                <c:pt idx="19">
                  <c:v>59.806842737094847</c:v>
                </c:pt>
                <c:pt idx="20">
                  <c:v>59.735474189675884</c:v>
                </c:pt>
                <c:pt idx="21">
                  <c:v>59.664105642256914</c:v>
                </c:pt>
                <c:pt idx="22">
                  <c:v>59.59273709483795</c:v>
                </c:pt>
                <c:pt idx="23">
                  <c:v>59.52136854741898</c:v>
                </c:pt>
                <c:pt idx="24">
                  <c:v>59.450000000000017</c:v>
                </c:pt>
                <c:pt idx="25">
                  <c:v>59.378631452581047</c:v>
                </c:pt>
                <c:pt idx="26">
                  <c:v>59.307262905162084</c:v>
                </c:pt>
                <c:pt idx="27">
                  <c:v>59.235894357743113</c:v>
                </c:pt>
              </c:numCache>
            </c:numRef>
          </c:val>
          <c:smooth val="0"/>
          <c:extLst>
            <c:ext xmlns:c16="http://schemas.microsoft.com/office/drawing/2014/chart" uri="{C3380CC4-5D6E-409C-BE32-E72D297353CC}">
              <c16:uniqueId val="{00000013-DE02-4ED6-B908-13385F98D0F8}"/>
            </c:ext>
          </c:extLst>
        </c:ser>
        <c:ser>
          <c:idx val="20"/>
          <c:order val="20"/>
          <c:tx>
            <c:strRef>
              <c:f>FIGURES!$A$594</c:f>
              <c:strCache>
                <c:ptCount val="1"/>
                <c:pt idx="0">
                  <c:v>HFO High</c:v>
                </c:pt>
              </c:strCache>
            </c:strRef>
          </c:tx>
          <c:spPr>
            <a:ln w="28575" cap="rnd">
              <a:solidFill>
                <a:schemeClr val="accent3">
                  <a:lumMod val="80000"/>
                </a:schemeClr>
              </a:solidFill>
              <a:round/>
            </a:ln>
            <a:effectLst/>
          </c:spPr>
          <c:marker>
            <c:symbol val="none"/>
          </c:marker>
          <c:cat>
            <c:numRef>
              <c:f>FIGURES!$B$573:$AD$573</c:f>
              <c:numCache>
                <c:formatCode>General</c:formatCode>
                <c:ptCount val="29"/>
                <c:pt idx="0">
                  <c:v>2023</c:v>
                </c:pt>
                <c:pt idx="1">
                  <c:v>2024</c:v>
                </c:pt>
                <c:pt idx="2">
                  <c:v>2025</c:v>
                </c:pt>
                <c:pt idx="3">
                  <c:v>2026</c:v>
                </c:pt>
                <c:pt idx="4">
                  <c:v>2027</c:v>
                </c:pt>
                <c:pt idx="5">
                  <c:v>2028</c:v>
                </c:pt>
                <c:pt idx="6">
                  <c:v>2029</c:v>
                </c:pt>
                <c:pt idx="7">
                  <c:v>2030</c:v>
                </c:pt>
                <c:pt idx="8">
                  <c:v>2031</c:v>
                </c:pt>
                <c:pt idx="9">
                  <c:v>2032</c:v>
                </c:pt>
                <c:pt idx="10">
                  <c:v>2033</c:v>
                </c:pt>
                <c:pt idx="11">
                  <c:v>2034</c:v>
                </c:pt>
                <c:pt idx="12">
                  <c:v>2035</c:v>
                </c:pt>
                <c:pt idx="13">
                  <c:v>2036</c:v>
                </c:pt>
                <c:pt idx="14">
                  <c:v>2037</c:v>
                </c:pt>
                <c:pt idx="15">
                  <c:v>2038</c:v>
                </c:pt>
                <c:pt idx="16">
                  <c:v>2039</c:v>
                </c:pt>
                <c:pt idx="17">
                  <c:v>2040</c:v>
                </c:pt>
                <c:pt idx="18">
                  <c:v>2041</c:v>
                </c:pt>
                <c:pt idx="19">
                  <c:v>2042</c:v>
                </c:pt>
                <c:pt idx="20">
                  <c:v>2043</c:v>
                </c:pt>
                <c:pt idx="21">
                  <c:v>2044</c:v>
                </c:pt>
                <c:pt idx="22">
                  <c:v>2045</c:v>
                </c:pt>
                <c:pt idx="23">
                  <c:v>2046</c:v>
                </c:pt>
                <c:pt idx="24">
                  <c:v>2047</c:v>
                </c:pt>
                <c:pt idx="25">
                  <c:v>2048</c:v>
                </c:pt>
                <c:pt idx="26">
                  <c:v>2049</c:v>
                </c:pt>
                <c:pt idx="27">
                  <c:v>2050</c:v>
                </c:pt>
              </c:numCache>
            </c:numRef>
          </c:cat>
          <c:val>
            <c:numRef>
              <c:f>FIGURES!$B$594:$AD$594</c:f>
              <c:numCache>
                <c:formatCode>General</c:formatCode>
                <c:ptCount val="29"/>
                <c:pt idx="0">
                  <c:v>30.104920093479958</c:v>
                </c:pt>
                <c:pt idx="1">
                  <c:v>29.689017903028052</c:v>
                </c:pt>
                <c:pt idx="2">
                  <c:v>29.273115712576157</c:v>
                </c:pt>
                <c:pt idx="3">
                  <c:v>28.857213522124258</c:v>
                </c:pt>
                <c:pt idx="4">
                  <c:v>28.441311331672356</c:v>
                </c:pt>
                <c:pt idx="5">
                  <c:v>28.025409141220457</c:v>
                </c:pt>
                <c:pt idx="6">
                  <c:v>27.609506950768555</c:v>
                </c:pt>
                <c:pt idx="7">
                  <c:v>27.193604760316649</c:v>
                </c:pt>
                <c:pt idx="8">
                  <c:v>27.161612284128044</c:v>
                </c:pt>
                <c:pt idx="9">
                  <c:v>27.129619807939434</c:v>
                </c:pt>
                <c:pt idx="10">
                  <c:v>27.097627331750829</c:v>
                </c:pt>
                <c:pt idx="11">
                  <c:v>27.065634855562219</c:v>
                </c:pt>
                <c:pt idx="12">
                  <c:v>27.033642379373614</c:v>
                </c:pt>
                <c:pt idx="13">
                  <c:v>27.001649903185005</c:v>
                </c:pt>
                <c:pt idx="14">
                  <c:v>26.969657426996399</c:v>
                </c:pt>
                <c:pt idx="15">
                  <c:v>26.93766495080779</c:v>
                </c:pt>
                <c:pt idx="16">
                  <c:v>26.905672474619184</c:v>
                </c:pt>
                <c:pt idx="17">
                  <c:v>26.873679998430575</c:v>
                </c:pt>
                <c:pt idx="18">
                  <c:v>26.841687522241969</c:v>
                </c:pt>
                <c:pt idx="19">
                  <c:v>26.80969504605336</c:v>
                </c:pt>
                <c:pt idx="20">
                  <c:v>26.777702569864754</c:v>
                </c:pt>
                <c:pt idx="21">
                  <c:v>26.745710093676145</c:v>
                </c:pt>
                <c:pt idx="22">
                  <c:v>26.713717617487536</c:v>
                </c:pt>
                <c:pt idx="23">
                  <c:v>26.681725141298926</c:v>
                </c:pt>
                <c:pt idx="24">
                  <c:v>26.649732665110321</c:v>
                </c:pt>
                <c:pt idx="25">
                  <c:v>26.617740188921712</c:v>
                </c:pt>
                <c:pt idx="26">
                  <c:v>26.585747712733106</c:v>
                </c:pt>
                <c:pt idx="27">
                  <c:v>26.553755236544493</c:v>
                </c:pt>
              </c:numCache>
            </c:numRef>
          </c:val>
          <c:smooth val="0"/>
          <c:extLst>
            <c:ext xmlns:c16="http://schemas.microsoft.com/office/drawing/2014/chart" uri="{C3380CC4-5D6E-409C-BE32-E72D297353CC}">
              <c16:uniqueId val="{00000014-DE02-4ED6-B908-13385F98D0F8}"/>
            </c:ext>
          </c:extLst>
        </c:ser>
        <c:dLbls>
          <c:showLegendKey val="0"/>
          <c:showVal val="0"/>
          <c:showCatName val="0"/>
          <c:showSerName val="0"/>
          <c:showPercent val="0"/>
          <c:showBubbleSize val="0"/>
        </c:dLbls>
        <c:smooth val="0"/>
        <c:axId val="1047781744"/>
        <c:axId val="832203360"/>
      </c:lineChart>
      <c:catAx>
        <c:axId val="104778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832203360"/>
        <c:crosses val="autoZero"/>
        <c:auto val="1"/>
        <c:lblAlgn val="ctr"/>
        <c:lblOffset val="100"/>
        <c:tickLblSkip val="3"/>
        <c:noMultiLvlLbl val="0"/>
      </c:catAx>
      <c:valAx>
        <c:axId val="832203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Levelized</a:t>
                </a:r>
                <a:r>
                  <a:rPr lang="en-GB" baseline="0"/>
                  <a:t> cost of fuels [€/MWh]</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047781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3"/>
          <c:order val="0"/>
          <c:tx>
            <c:strRef>
              <c:f>FIGURES!$A$662</c:f>
              <c:strCache>
                <c:ptCount val="1"/>
                <c:pt idx="0">
                  <c:v>Methanol Base</c:v>
                </c:pt>
              </c:strCache>
            </c:strRef>
          </c:tx>
          <c:spPr>
            <a:ln w="25400" cap="rnd">
              <a:noFill/>
              <a:round/>
            </a:ln>
            <a:effectLst/>
          </c:spPr>
          <c:marker>
            <c:symbol val="circle"/>
            <c:size val="5"/>
            <c:spPr>
              <a:solidFill>
                <a:schemeClr val="accent4"/>
              </a:solidFill>
              <a:ln w="9525">
                <a:solidFill>
                  <a:schemeClr val="accent4"/>
                </a:solidFill>
              </a:ln>
              <a:effectLst/>
            </c:spPr>
          </c:marker>
          <c:errBars>
            <c:errDir val="y"/>
            <c:errBarType val="both"/>
            <c:errValType val="cust"/>
            <c:noEndCap val="0"/>
            <c:plus>
              <c:numRef>
                <c:f>FIGURES!$B$664:$F$664</c:f>
                <c:numCache>
                  <c:formatCode>General</c:formatCode>
                  <c:ptCount val="5"/>
                  <c:pt idx="0">
                    <c:v>25.56448825472711</c:v>
                  </c:pt>
                  <c:pt idx="1">
                    <c:v>25.283051695810343</c:v>
                  </c:pt>
                  <c:pt idx="2">
                    <c:v>22.935890760225703</c:v>
                  </c:pt>
                  <c:pt idx="3">
                    <c:v>20.651115524781375</c:v>
                  </c:pt>
                  <c:pt idx="4">
                    <c:v>17.31301765927978</c:v>
                  </c:pt>
                </c:numCache>
              </c:numRef>
            </c:plus>
            <c:minus>
              <c:numRef>
                <c:f>FIGURES!$B$663:$F$663</c:f>
                <c:numCache>
                  <c:formatCode>General</c:formatCode>
                  <c:ptCount val="5"/>
                  <c:pt idx="0">
                    <c:v>11.196598653336196</c:v>
                  </c:pt>
                  <c:pt idx="1">
                    <c:v>11.073336565506906</c:v>
                  </c:pt>
                  <c:pt idx="2">
                    <c:v>16.03186197966275</c:v>
                  </c:pt>
                  <c:pt idx="3">
                    <c:v>17.735663921282764</c:v>
                  </c:pt>
                  <c:pt idx="4">
                    <c:v>18.467218836565081</c:v>
                  </c:pt>
                </c:numCache>
              </c:numRef>
            </c:minus>
            <c:spPr>
              <a:noFill/>
              <a:ln w="9525" cap="flat" cmpd="sng" algn="ctr">
                <a:solidFill>
                  <a:schemeClr val="tx1">
                    <a:lumMod val="65000"/>
                    <a:lumOff val="35000"/>
                  </a:schemeClr>
                </a:solidFill>
                <a:round/>
              </a:ln>
              <a:effectLst/>
            </c:spPr>
          </c:errBars>
          <c:val>
            <c:numRef>
              <c:f>FIGURES!$B$662:$F$662</c:f>
              <c:numCache>
                <c:formatCode>General</c:formatCode>
                <c:ptCount val="5"/>
                <c:pt idx="0">
                  <c:v>338.60978809845653</c:v>
                </c:pt>
                <c:pt idx="1">
                  <c:v>270.07819999881934</c:v>
                </c:pt>
                <c:pt idx="2">
                  <c:v>220.94337744719638</c:v>
                </c:pt>
                <c:pt idx="3">
                  <c:v>178.37477563858488</c:v>
                </c:pt>
                <c:pt idx="4">
                  <c:v>136.046171935459</c:v>
                </c:pt>
              </c:numCache>
            </c:numRef>
          </c:val>
          <c:smooth val="0"/>
          <c:extLst>
            <c:ext xmlns:c16="http://schemas.microsoft.com/office/drawing/2014/chart" uri="{C3380CC4-5D6E-409C-BE32-E72D297353CC}">
              <c16:uniqueId val="{00000003-9A01-42F5-B77A-6BB2FAF2436D}"/>
            </c:ext>
          </c:extLst>
        </c:ser>
        <c:ser>
          <c:idx val="1"/>
          <c:order val="1"/>
          <c:tx>
            <c:strRef>
              <c:f>FIGURES!$A$654</c:f>
              <c:strCache>
                <c:ptCount val="1"/>
                <c:pt idx="0">
                  <c:v>Hydrogen Base</c:v>
                </c:pt>
              </c:strCache>
            </c:strRef>
          </c:tx>
          <c:spPr>
            <a:ln w="25400" cap="rnd">
              <a:noFill/>
              <a:round/>
            </a:ln>
            <a:effectLst/>
          </c:spPr>
          <c:marker>
            <c:symbol val="circle"/>
            <c:size val="5"/>
            <c:spPr>
              <a:solidFill>
                <a:schemeClr val="accent2"/>
              </a:solidFill>
              <a:ln w="9525">
                <a:solidFill>
                  <a:schemeClr val="accent2"/>
                </a:solidFill>
              </a:ln>
              <a:effectLst/>
            </c:spPr>
          </c:marker>
          <c:errBars>
            <c:errDir val="y"/>
            <c:errBarType val="both"/>
            <c:errValType val="cust"/>
            <c:noEndCap val="0"/>
            <c:plus>
              <c:numRef>
                <c:f>FIGURES!$B$656:$F$656</c:f>
                <c:numCache>
                  <c:formatCode>General</c:formatCode>
                  <c:ptCount val="5"/>
                  <c:pt idx="0">
                    <c:v>20.451590603781796</c:v>
                  </c:pt>
                  <c:pt idx="1">
                    <c:v>20.22644135664828</c:v>
                  </c:pt>
                  <c:pt idx="2">
                    <c:v>18.348712608180506</c:v>
                  </c:pt>
                  <c:pt idx="3">
                    <c:v>16.520892419825117</c:v>
                  </c:pt>
                  <c:pt idx="4">
                    <c:v>13.850414127423832</c:v>
                  </c:pt>
                </c:numCache>
              </c:numRef>
            </c:plus>
            <c:minus>
              <c:numRef>
                <c:f>FIGURES!$B$655:$F$655</c:f>
                <c:numCache>
                  <c:formatCode>General</c:formatCode>
                  <c:ptCount val="5"/>
                  <c:pt idx="0">
                    <c:v>8.957278922669019</c:v>
                  </c:pt>
                  <c:pt idx="1">
                    <c:v>8.8586692524054911</c:v>
                  </c:pt>
                  <c:pt idx="2">
                    <c:v>12.82548958373016</c:v>
                  </c:pt>
                  <c:pt idx="3">
                    <c:v>14.188531137026217</c:v>
                  </c:pt>
                  <c:pt idx="4">
                    <c:v>14.773775069252082</c:v>
                  </c:pt>
                </c:numCache>
              </c:numRef>
            </c:minus>
            <c:spPr>
              <a:noFill/>
              <a:ln w="9525" cap="flat" cmpd="sng" algn="ctr">
                <a:solidFill>
                  <a:schemeClr val="tx1">
                    <a:lumMod val="65000"/>
                    <a:lumOff val="35000"/>
                  </a:schemeClr>
                </a:solidFill>
                <a:round/>
              </a:ln>
              <a:effectLst/>
            </c:spPr>
          </c:errBars>
          <c:val>
            <c:numRef>
              <c:f>FIGURES!$B$654:$F$654</c:f>
              <c:numCache>
                <c:formatCode>General</c:formatCode>
                <c:ptCount val="5"/>
                <c:pt idx="0">
                  <c:v>176.50758633144633</c:v>
                </c:pt>
                <c:pt idx="1">
                  <c:v>155.81000981574255</c:v>
                </c:pt>
                <c:pt idx="2">
                  <c:v>149.9746682794939</c:v>
                </c:pt>
                <c:pt idx="3">
                  <c:v>133.18551456272309</c:v>
                </c:pt>
                <c:pt idx="4">
                  <c:v>104.52932119395956</c:v>
                </c:pt>
              </c:numCache>
            </c:numRef>
          </c:val>
          <c:smooth val="0"/>
          <c:extLst>
            <c:ext xmlns:c16="http://schemas.microsoft.com/office/drawing/2014/chart" uri="{C3380CC4-5D6E-409C-BE32-E72D297353CC}">
              <c16:uniqueId val="{00000001-9A01-42F5-B77A-6BB2FAF2436D}"/>
            </c:ext>
          </c:extLst>
        </c:ser>
        <c:ser>
          <c:idx val="2"/>
          <c:order val="2"/>
          <c:tx>
            <c:strRef>
              <c:f>FIGURES!$A$658</c:f>
              <c:strCache>
                <c:ptCount val="1"/>
                <c:pt idx="0">
                  <c:v>Ammonia Base</c:v>
                </c:pt>
              </c:strCache>
            </c:strRef>
          </c:tx>
          <c:spPr>
            <a:ln w="25400" cap="rnd">
              <a:noFill/>
              <a:round/>
            </a:ln>
            <a:effectLst/>
          </c:spPr>
          <c:marker>
            <c:symbol val="circle"/>
            <c:size val="5"/>
            <c:spPr>
              <a:solidFill>
                <a:schemeClr val="accent3"/>
              </a:solidFill>
              <a:ln w="9525">
                <a:solidFill>
                  <a:schemeClr val="accent3"/>
                </a:solidFill>
              </a:ln>
              <a:effectLst/>
            </c:spPr>
          </c:marker>
          <c:errBars>
            <c:errDir val="y"/>
            <c:errBarType val="both"/>
            <c:errValType val="cust"/>
            <c:noEndCap val="0"/>
            <c:plus>
              <c:numRef>
                <c:f>FIGURES!$B$660:$F$660</c:f>
                <c:numCache>
                  <c:formatCode>General</c:formatCode>
                  <c:ptCount val="5"/>
                  <c:pt idx="0">
                    <c:v>23.081634168169614</c:v>
                  </c:pt>
                  <c:pt idx="1">
                    <c:v>22.827531068989941</c:v>
                  </c:pt>
                  <c:pt idx="2">
                    <c:v>20.708329248512769</c:v>
                  </c:pt>
                  <c:pt idx="3">
                    <c:v>18.645454153359395</c:v>
                  </c:pt>
                  <c:pt idx="4">
                    <c:v>15.631556398734588</c:v>
                  </c:pt>
                </c:numCache>
              </c:numRef>
            </c:plus>
            <c:minus>
              <c:numRef>
                <c:f>FIGURES!$B$659:$F$659</c:f>
                <c:numCache>
                  <c:formatCode>General</c:formatCode>
                  <c:ptCount val="5"/>
                  <c:pt idx="0">
                    <c:v>10.109171420489531</c:v>
                  </c:pt>
                  <c:pt idx="1">
                    <c:v>9.9978806960386919</c:v>
                  </c:pt>
                  <c:pt idx="2">
                    <c:v>14.474828111637947</c:v>
                  </c:pt>
                  <c:pt idx="3">
                    <c:v>16.013154743473365</c:v>
                  </c:pt>
                  <c:pt idx="4">
                    <c:v>16.673660158650222</c:v>
                  </c:pt>
                </c:numCache>
              </c:numRef>
            </c:minus>
            <c:spPr>
              <a:noFill/>
              <a:ln w="9525" cap="flat" cmpd="sng" algn="ctr">
                <a:solidFill>
                  <a:schemeClr val="tx1">
                    <a:lumMod val="65000"/>
                    <a:lumOff val="35000"/>
                  </a:schemeClr>
                </a:solidFill>
                <a:round/>
              </a:ln>
              <a:effectLst/>
            </c:spPr>
          </c:errBars>
          <c:val>
            <c:numRef>
              <c:f>FIGURES!$B$658:$F$658</c:f>
              <c:numCache>
                <c:formatCode>General</c:formatCode>
                <c:ptCount val="5"/>
                <c:pt idx="0">
                  <c:v>157.96068463848832</c:v>
                </c:pt>
                <c:pt idx="1">
                  <c:v>143.50859619651109</c:v>
                </c:pt>
                <c:pt idx="2">
                  <c:v>145.98531280071055</c:v>
                </c:pt>
                <c:pt idx="3">
                  <c:v>133.7340744370274</c:v>
                </c:pt>
                <c:pt idx="4">
                  <c:v>108.68245589897795</c:v>
                </c:pt>
              </c:numCache>
            </c:numRef>
          </c:val>
          <c:smooth val="0"/>
          <c:extLst>
            <c:ext xmlns:c16="http://schemas.microsoft.com/office/drawing/2014/chart" uri="{C3380CC4-5D6E-409C-BE32-E72D297353CC}">
              <c16:uniqueId val="{00000002-9A01-42F5-B77A-6BB2FAF2436D}"/>
            </c:ext>
          </c:extLst>
        </c:ser>
        <c:ser>
          <c:idx val="0"/>
          <c:order val="3"/>
          <c:tx>
            <c:strRef>
              <c:f>FIGURES!$A$650</c:f>
              <c:strCache>
                <c:ptCount val="1"/>
                <c:pt idx="0">
                  <c:v>Electricity Base</c:v>
                </c:pt>
              </c:strCache>
            </c:strRef>
          </c:tx>
          <c:spPr>
            <a:ln w="19050" cap="rnd">
              <a:noFill/>
              <a:round/>
            </a:ln>
            <a:effectLst/>
          </c:spPr>
          <c:marker>
            <c:symbol val="circle"/>
            <c:size val="5"/>
            <c:spPr>
              <a:solidFill>
                <a:schemeClr val="accent1"/>
              </a:solidFill>
              <a:ln w="9525">
                <a:noFill/>
              </a:ln>
              <a:effectLst/>
            </c:spPr>
          </c:marker>
          <c:errBars>
            <c:errDir val="y"/>
            <c:errBarType val="both"/>
            <c:errValType val="cust"/>
            <c:noEndCap val="0"/>
            <c:plus>
              <c:numRef>
                <c:f>FIGURES!$B$652:$F$652</c:f>
                <c:numCache>
                  <c:formatCode>General</c:formatCode>
                  <c:ptCount val="5"/>
                  <c:pt idx="0">
                    <c:v>13.166665349999988</c:v>
                  </c:pt>
                  <c:pt idx="1">
                    <c:v>13.166665349999988</c:v>
                  </c:pt>
                  <c:pt idx="2">
                    <c:v>12.233332109999992</c:v>
                  </c:pt>
                  <c:pt idx="3">
                    <c:v>11.333332200000001</c:v>
                  </c:pt>
                  <c:pt idx="4">
                    <c:v>9.9999990000000309</c:v>
                  </c:pt>
                </c:numCache>
              </c:numRef>
            </c:plus>
            <c:minus>
              <c:numRef>
                <c:f>FIGURES!$B$651:$F$651</c:f>
                <c:numCache>
                  <c:formatCode>General</c:formatCode>
                  <c:ptCount val="5"/>
                  <c:pt idx="0">
                    <c:v>5.7666660900000011</c:v>
                  </c:pt>
                  <c:pt idx="1">
                    <c:v>5.7666660900000011</c:v>
                  </c:pt>
                  <c:pt idx="2">
                    <c:v>8.5666658100000035</c:v>
                  </c:pt>
                  <c:pt idx="3">
                    <c:v>9.7333323600000057</c:v>
                  </c:pt>
                  <c:pt idx="4">
                    <c:v>10.666665600000002</c:v>
                  </c:pt>
                </c:numCache>
              </c:numRef>
            </c:minus>
            <c:spPr>
              <a:noFill/>
              <a:ln w="9525" cap="flat" cmpd="sng" algn="ctr">
                <a:solidFill>
                  <a:schemeClr val="tx1">
                    <a:lumMod val="65000"/>
                    <a:lumOff val="35000"/>
                  </a:schemeClr>
                </a:solidFill>
                <a:round/>
              </a:ln>
              <a:effectLst/>
            </c:spPr>
          </c:errBars>
          <c:cat>
            <c:numRef>
              <c:f>FIGURES!$B$649:$F$649</c:f>
              <c:numCache>
                <c:formatCode>General</c:formatCode>
                <c:ptCount val="5"/>
                <c:pt idx="0">
                  <c:v>2023</c:v>
                </c:pt>
                <c:pt idx="1">
                  <c:v>2028</c:v>
                </c:pt>
                <c:pt idx="2">
                  <c:v>2034</c:v>
                </c:pt>
                <c:pt idx="3">
                  <c:v>2040</c:v>
                </c:pt>
                <c:pt idx="4">
                  <c:v>2050</c:v>
                </c:pt>
              </c:numCache>
            </c:numRef>
          </c:cat>
          <c:val>
            <c:numRef>
              <c:f>FIGURES!$B$650:$F$650</c:f>
              <c:numCache>
                <c:formatCode>General</c:formatCode>
                <c:ptCount val="5"/>
                <c:pt idx="0">
                  <c:v>80.999995900000002</c:v>
                </c:pt>
                <c:pt idx="1">
                  <c:v>80.999995900000002</c:v>
                </c:pt>
                <c:pt idx="2">
                  <c:v>89.266661740000018</c:v>
                </c:pt>
                <c:pt idx="3">
                  <c:v>86.999995299999995</c:v>
                </c:pt>
                <c:pt idx="4">
                  <c:v>78.333329499999991</c:v>
                </c:pt>
              </c:numCache>
            </c:numRef>
          </c:val>
          <c:smooth val="0"/>
          <c:extLst>
            <c:ext xmlns:c16="http://schemas.microsoft.com/office/drawing/2014/chart" uri="{C3380CC4-5D6E-409C-BE32-E72D297353CC}">
              <c16:uniqueId val="{00000000-9A01-42F5-B77A-6BB2FAF2436D}"/>
            </c:ext>
          </c:extLst>
        </c:ser>
        <c:ser>
          <c:idx val="4"/>
          <c:order val="4"/>
          <c:tx>
            <c:strRef>
              <c:f>FIGURES!$A$666</c:f>
              <c:strCache>
                <c:ptCount val="1"/>
                <c:pt idx="0">
                  <c:v>Diesel Base</c:v>
                </c:pt>
              </c:strCache>
            </c:strRef>
          </c:tx>
          <c:spPr>
            <a:ln w="25400" cap="rnd">
              <a:noFill/>
              <a:round/>
            </a:ln>
            <a:effectLst/>
          </c:spPr>
          <c:marker>
            <c:symbol val="circle"/>
            <c:size val="5"/>
            <c:spPr>
              <a:solidFill>
                <a:schemeClr val="accent5"/>
              </a:solidFill>
              <a:ln w="9525">
                <a:solidFill>
                  <a:schemeClr val="accent5"/>
                </a:solidFill>
              </a:ln>
              <a:effectLst/>
            </c:spPr>
          </c:marker>
          <c:val>
            <c:numRef>
              <c:f>FIGURES!$B$666:$F$666</c:f>
              <c:numCache>
                <c:formatCode>General</c:formatCode>
                <c:ptCount val="5"/>
                <c:pt idx="0">
                  <c:v>64.802641056422573</c:v>
                </c:pt>
                <c:pt idx="1">
                  <c:v>56.238415366146477</c:v>
                </c:pt>
                <c:pt idx="2">
                  <c:v>50.814405762304936</c:v>
                </c:pt>
                <c:pt idx="3">
                  <c:v>47.816926770708292</c:v>
                </c:pt>
                <c:pt idx="4">
                  <c:v>42.821128451380567</c:v>
                </c:pt>
              </c:numCache>
            </c:numRef>
          </c:val>
          <c:smooth val="0"/>
          <c:extLst>
            <c:ext xmlns:c16="http://schemas.microsoft.com/office/drawing/2014/chart" uri="{C3380CC4-5D6E-409C-BE32-E72D297353CC}">
              <c16:uniqueId val="{00000004-9A01-42F5-B77A-6BB2FAF2436D}"/>
            </c:ext>
          </c:extLst>
        </c:ser>
        <c:ser>
          <c:idx val="5"/>
          <c:order val="5"/>
          <c:tx>
            <c:strRef>
              <c:f>FIGURES!$A$670</c:f>
              <c:strCache>
                <c:ptCount val="1"/>
                <c:pt idx="0">
                  <c:v>MGO Base</c:v>
                </c:pt>
              </c:strCache>
            </c:strRef>
          </c:tx>
          <c:spPr>
            <a:ln w="25400" cap="rnd">
              <a:noFill/>
              <a:round/>
            </a:ln>
            <a:effectLst/>
          </c:spPr>
          <c:marker>
            <c:symbol val="circle"/>
            <c:size val="5"/>
            <c:spPr>
              <a:solidFill>
                <a:schemeClr val="accent6"/>
              </a:solidFill>
              <a:ln w="9525">
                <a:solidFill>
                  <a:schemeClr val="accent6"/>
                </a:solidFill>
              </a:ln>
              <a:effectLst/>
            </c:spPr>
          </c:marker>
          <c:errBars>
            <c:errDir val="y"/>
            <c:errBarType val="both"/>
            <c:errValType val="cust"/>
            <c:noEndCap val="0"/>
            <c:plus>
              <c:numRef>
                <c:f>FIGURES!$B$672:$F$672</c:f>
                <c:numCache>
                  <c:formatCode>General</c:formatCode>
                  <c:ptCount val="5"/>
                  <c:pt idx="0">
                    <c:v>2.3551620648259188</c:v>
                  </c:pt>
                  <c:pt idx="1">
                    <c:v>6.2804321728691477</c:v>
                  </c:pt>
                  <c:pt idx="2">
                    <c:v>9.5633853541416514</c:v>
                  </c:pt>
                  <c:pt idx="3">
                    <c:v>12.132653061224488</c:v>
                  </c:pt>
                  <c:pt idx="4">
                    <c:v>16.414765906362547</c:v>
                  </c:pt>
                </c:numCache>
              </c:numRef>
            </c:plus>
            <c:minus>
              <c:numRef>
                <c:f>FIGURES!$B$671:$F$671</c:f>
                <c:numCache>
                  <c:formatCode>General</c:formatCode>
                  <c:ptCount val="5"/>
                  <c:pt idx="0">
                    <c:v>6.8513805522208884</c:v>
                  </c:pt>
                  <c:pt idx="1">
                    <c:v>18.270348139255709</c:v>
                  </c:pt>
                  <c:pt idx="2">
                    <c:v>23.266146458583449</c:v>
                  </c:pt>
                  <c:pt idx="3">
                    <c:v>23.908463385354146</c:v>
                  </c:pt>
                  <c:pt idx="4">
                    <c:v>24.978991596638668</c:v>
                  </c:pt>
                </c:numCache>
              </c:numRef>
            </c:minus>
            <c:spPr>
              <a:noFill/>
              <a:ln w="9525" cap="flat" cmpd="sng" algn="ctr">
                <a:solidFill>
                  <a:schemeClr val="tx1">
                    <a:lumMod val="65000"/>
                    <a:lumOff val="35000"/>
                  </a:schemeClr>
                </a:solidFill>
                <a:round/>
              </a:ln>
              <a:effectLst/>
            </c:spPr>
          </c:errBars>
          <c:val>
            <c:numRef>
              <c:f>FIGURES!$B$670:$F$670</c:f>
              <c:numCache>
                <c:formatCode>General</c:formatCode>
                <c:ptCount val="5"/>
                <c:pt idx="0">
                  <c:v>64.802641056422573</c:v>
                </c:pt>
                <c:pt idx="1">
                  <c:v>56.238415366146477</c:v>
                </c:pt>
                <c:pt idx="2">
                  <c:v>50.814405762304936</c:v>
                </c:pt>
                <c:pt idx="3">
                  <c:v>47.816926770708292</c:v>
                </c:pt>
                <c:pt idx="4">
                  <c:v>42.821128451380567</c:v>
                </c:pt>
              </c:numCache>
            </c:numRef>
          </c:val>
          <c:smooth val="0"/>
          <c:extLst>
            <c:ext xmlns:c16="http://schemas.microsoft.com/office/drawing/2014/chart" uri="{C3380CC4-5D6E-409C-BE32-E72D297353CC}">
              <c16:uniqueId val="{00000005-9A01-42F5-B77A-6BB2FAF2436D}"/>
            </c:ext>
          </c:extLst>
        </c:ser>
        <c:ser>
          <c:idx val="6"/>
          <c:order val="6"/>
          <c:tx>
            <c:strRef>
              <c:f>FIGURES!$A$674</c:f>
              <c:strCache>
                <c:ptCount val="1"/>
                <c:pt idx="0">
                  <c:v>HFO Base</c:v>
                </c:pt>
              </c:strCache>
            </c:strRef>
          </c:tx>
          <c:spPr>
            <a:ln w="25400" cap="rnd">
              <a:noFill/>
              <a:round/>
            </a:ln>
            <a:effectLst/>
          </c:spPr>
          <c:marker>
            <c:symbol val="circle"/>
            <c:size val="5"/>
            <c:spPr>
              <a:solidFill>
                <a:schemeClr val="accent1">
                  <a:lumMod val="50000"/>
                </a:schemeClr>
              </a:solidFill>
              <a:ln w="9525">
                <a:noFill/>
              </a:ln>
              <a:effectLst/>
            </c:spPr>
          </c:marker>
          <c:errBars>
            <c:errDir val="y"/>
            <c:errBarType val="both"/>
            <c:errValType val="cust"/>
            <c:noEndCap val="0"/>
            <c:plus>
              <c:numRef>
                <c:f>FIGURES!$B$676:$F$676</c:f>
                <c:numCache>
                  <c:formatCode>General</c:formatCode>
                  <c:ptCount val="5"/>
                  <c:pt idx="0">
                    <c:v>1.0557517142240584</c:v>
                  </c:pt>
                  <c:pt idx="1">
                    <c:v>2.8153379045974951</c:v>
                  </c:pt>
                  <c:pt idx="2">
                    <c:v>4.2869918092734487</c:v>
                  </c:pt>
                  <c:pt idx="3">
                    <c:v>5.4387209520633313</c:v>
                  </c:pt>
                  <c:pt idx="4">
                    <c:v>7.3582695233797928</c:v>
                  </c:pt>
                </c:numCache>
              </c:numRef>
            </c:plus>
            <c:minus>
              <c:numRef>
                <c:f>FIGURES!$B$675:$F$675</c:f>
                <c:numCache>
                  <c:formatCode>General</c:formatCode>
                  <c:ptCount val="5"/>
                  <c:pt idx="0">
                    <c:v>3.0712777141063441</c:v>
                  </c:pt>
                  <c:pt idx="1">
                    <c:v>8.1900739042835973</c:v>
                  </c:pt>
                  <c:pt idx="2">
                    <c:v>10.429547237486149</c:v>
                  </c:pt>
                  <c:pt idx="3">
                    <c:v>10.717479523183622</c:v>
                  </c:pt>
                  <c:pt idx="4">
                    <c:v>11.197366666012744</c:v>
                  </c:pt>
                </c:numCache>
              </c:numRef>
            </c:minus>
            <c:spPr>
              <a:noFill/>
              <a:ln w="9525" cap="flat" cmpd="sng" algn="ctr">
                <a:solidFill>
                  <a:schemeClr val="tx1">
                    <a:lumMod val="65000"/>
                    <a:lumOff val="35000"/>
                  </a:schemeClr>
                </a:solidFill>
                <a:round/>
              </a:ln>
              <a:effectLst/>
            </c:spPr>
          </c:errBars>
          <c:val>
            <c:numRef>
              <c:f>FIGURES!$B$674:$F$674</c:f>
              <c:numCache>
                <c:formatCode>General</c:formatCode>
                <c:ptCount val="5"/>
                <c:pt idx="0">
                  <c:v>29.049168379255899</c:v>
                </c:pt>
                <c:pt idx="1">
                  <c:v>25.210071236622962</c:v>
                </c:pt>
                <c:pt idx="2">
                  <c:v>22.778643046288771</c:v>
                </c:pt>
                <c:pt idx="3">
                  <c:v>21.434959046367243</c:v>
                </c:pt>
                <c:pt idx="4">
                  <c:v>19.1954857131647</c:v>
                </c:pt>
              </c:numCache>
            </c:numRef>
          </c:val>
          <c:smooth val="0"/>
          <c:extLst>
            <c:ext xmlns:c16="http://schemas.microsoft.com/office/drawing/2014/chart" uri="{C3380CC4-5D6E-409C-BE32-E72D297353CC}">
              <c16:uniqueId val="{00000006-9A01-42F5-B77A-6BB2FAF2436D}"/>
            </c:ext>
          </c:extLst>
        </c:ser>
        <c:dLbls>
          <c:showLegendKey val="0"/>
          <c:showVal val="0"/>
          <c:showCatName val="0"/>
          <c:showSerName val="0"/>
          <c:showPercent val="0"/>
          <c:showBubbleSize val="0"/>
        </c:dLbls>
        <c:marker val="1"/>
        <c:smooth val="0"/>
        <c:axId val="681747240"/>
        <c:axId val="681750520"/>
      </c:lineChart>
      <c:catAx>
        <c:axId val="681747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1750520"/>
        <c:crosses val="autoZero"/>
        <c:auto val="1"/>
        <c:lblAlgn val="ctr"/>
        <c:lblOffset val="100"/>
        <c:noMultiLvlLbl val="0"/>
      </c:catAx>
      <c:valAx>
        <c:axId val="6817505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Levelized cost of fuel [€/MWh]</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81747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40</xdr:col>
      <xdr:colOff>470646</xdr:colOff>
      <xdr:row>35</xdr:row>
      <xdr:rowOff>49306</xdr:rowOff>
    </xdr:from>
    <xdr:to>
      <xdr:col>44</xdr:col>
      <xdr:colOff>569258</xdr:colOff>
      <xdr:row>50</xdr:row>
      <xdr:rowOff>94129</xdr:rowOff>
    </xdr:to>
    <xdr:graphicFrame macro="">
      <xdr:nvGraphicFramePr>
        <xdr:cNvPr id="14" name="Chart 13">
          <a:extLst>
            <a:ext uri="{FF2B5EF4-FFF2-40B4-BE49-F238E27FC236}">
              <a16:creationId xmlns:a16="http://schemas.microsoft.com/office/drawing/2014/main" id="{A519707E-AB57-421D-A9BB-DE4B18B1E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112054</xdr:rowOff>
    </xdr:from>
    <xdr:to>
      <xdr:col>12</xdr:col>
      <xdr:colOff>1019736</xdr:colOff>
      <xdr:row>190</xdr:row>
      <xdr:rowOff>171898</xdr:rowOff>
    </xdr:to>
    <xdr:graphicFrame macro="">
      <xdr:nvGraphicFramePr>
        <xdr:cNvPr id="2" name="Chart 1">
          <a:extLst>
            <a:ext uri="{FF2B5EF4-FFF2-40B4-BE49-F238E27FC236}">
              <a16:creationId xmlns:a16="http://schemas.microsoft.com/office/drawing/2014/main" id="{F77DC771-229A-4696-88B7-CAB2881194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1096599</xdr:colOff>
      <xdr:row>412</xdr:row>
      <xdr:rowOff>38133</xdr:rowOff>
    </xdr:from>
    <xdr:to>
      <xdr:col>26</xdr:col>
      <xdr:colOff>195677</xdr:colOff>
      <xdr:row>568</xdr:row>
      <xdr:rowOff>149469</xdr:rowOff>
    </xdr:to>
    <xdr:graphicFrame macro="">
      <xdr:nvGraphicFramePr>
        <xdr:cNvPr id="4" name="Chart 3">
          <a:extLst>
            <a:ext uri="{FF2B5EF4-FFF2-40B4-BE49-F238E27FC236}">
              <a16:creationId xmlns:a16="http://schemas.microsoft.com/office/drawing/2014/main" id="{000BE9C9-F87B-4888-9AC4-402495A6BF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31</xdr:col>
      <xdr:colOff>611914</xdr:colOff>
      <xdr:row>222</xdr:row>
      <xdr:rowOff>110796</xdr:rowOff>
    </xdr:from>
    <xdr:to>
      <xdr:col>38</xdr:col>
      <xdr:colOff>842962</xdr:colOff>
      <xdr:row>274</xdr:row>
      <xdr:rowOff>143724</xdr:rowOff>
    </xdr:to>
    <xdr:graphicFrame macro="">
      <xdr:nvGraphicFramePr>
        <xdr:cNvPr id="3" name="Chart 2">
          <a:extLst>
            <a:ext uri="{FF2B5EF4-FFF2-40B4-BE49-F238E27FC236}">
              <a16:creationId xmlns:a16="http://schemas.microsoft.com/office/drawing/2014/main" id="{DC0D0202-2186-401A-A92A-8963FB71AF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1031149</xdr:colOff>
      <xdr:row>315</xdr:row>
      <xdr:rowOff>10341</xdr:rowOff>
    </xdr:from>
    <xdr:to>
      <xdr:col>37</xdr:col>
      <xdr:colOff>244928</xdr:colOff>
      <xdr:row>330</xdr:row>
      <xdr:rowOff>97154</xdr:rowOff>
    </xdr:to>
    <xdr:graphicFrame macro="">
      <xdr:nvGraphicFramePr>
        <xdr:cNvPr id="8" name="Chart 7">
          <a:extLst>
            <a:ext uri="{FF2B5EF4-FFF2-40B4-BE49-F238E27FC236}">
              <a16:creationId xmlns:a16="http://schemas.microsoft.com/office/drawing/2014/main" id="{EC997241-354C-47DD-A45E-0E5E09E13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1012677</xdr:colOff>
      <xdr:row>280</xdr:row>
      <xdr:rowOff>45006</xdr:rowOff>
    </xdr:from>
    <xdr:to>
      <xdr:col>34</xdr:col>
      <xdr:colOff>1554412</xdr:colOff>
      <xdr:row>310</xdr:row>
      <xdr:rowOff>69498</xdr:rowOff>
    </xdr:to>
    <xdr:graphicFrame macro="">
      <xdr:nvGraphicFramePr>
        <xdr:cNvPr id="9" name="Chart 8">
          <a:extLst>
            <a:ext uri="{FF2B5EF4-FFF2-40B4-BE49-F238E27FC236}">
              <a16:creationId xmlns:a16="http://schemas.microsoft.com/office/drawing/2014/main" id="{3A0C6FDC-E852-4C56-ABDD-13ACDA02B6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70</xdr:col>
      <xdr:colOff>671434</xdr:colOff>
      <xdr:row>310</xdr:row>
      <xdr:rowOff>115424</xdr:rowOff>
    </xdr:from>
    <xdr:to>
      <xdr:col>81</xdr:col>
      <xdr:colOff>1635739</xdr:colOff>
      <xdr:row>359</xdr:row>
      <xdr:rowOff>111208</xdr:rowOff>
    </xdr:to>
    <xdr:graphicFrame macro="">
      <xdr:nvGraphicFramePr>
        <xdr:cNvPr id="6" name="Chart 5">
          <a:extLst>
            <a:ext uri="{FF2B5EF4-FFF2-40B4-BE49-F238E27FC236}">
              <a16:creationId xmlns:a16="http://schemas.microsoft.com/office/drawing/2014/main" id="{4CAD5FC9-70B4-46C8-B272-2B7A107F8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172843</xdr:colOff>
      <xdr:row>579</xdr:row>
      <xdr:rowOff>62458</xdr:rowOff>
    </xdr:from>
    <xdr:to>
      <xdr:col>11</xdr:col>
      <xdr:colOff>7951</xdr:colOff>
      <xdr:row>619</xdr:row>
      <xdr:rowOff>62459</xdr:rowOff>
    </xdr:to>
    <xdr:graphicFrame macro="">
      <xdr:nvGraphicFramePr>
        <xdr:cNvPr id="7" name="Chart 6">
          <a:extLst>
            <a:ext uri="{FF2B5EF4-FFF2-40B4-BE49-F238E27FC236}">
              <a16:creationId xmlns:a16="http://schemas.microsoft.com/office/drawing/2014/main" id="{F016E263-8A90-48B3-9848-FFEC64225B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498279</xdr:colOff>
      <xdr:row>648</xdr:row>
      <xdr:rowOff>18436</xdr:rowOff>
    </xdr:from>
    <xdr:to>
      <xdr:col>10</xdr:col>
      <xdr:colOff>671461</xdr:colOff>
      <xdr:row>680</xdr:row>
      <xdr:rowOff>108490</xdr:rowOff>
    </xdr:to>
    <xdr:graphicFrame macro="">
      <xdr:nvGraphicFramePr>
        <xdr:cNvPr id="5" name="Chart 4">
          <a:extLst>
            <a:ext uri="{FF2B5EF4-FFF2-40B4-BE49-F238E27FC236}">
              <a16:creationId xmlns:a16="http://schemas.microsoft.com/office/drawing/2014/main" id="{652A76C2-4A61-4CCE-A643-3244573942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813035</xdr:colOff>
      <xdr:row>9</xdr:row>
      <xdr:rowOff>201705</xdr:rowOff>
    </xdr:from>
    <xdr:to>
      <xdr:col>10</xdr:col>
      <xdr:colOff>739588</xdr:colOff>
      <xdr:row>26</xdr:row>
      <xdr:rowOff>40820</xdr:rowOff>
    </xdr:to>
    <xdr:graphicFrame macro="">
      <xdr:nvGraphicFramePr>
        <xdr:cNvPr id="3" name="Chart 2">
          <a:extLst>
            <a:ext uri="{FF2B5EF4-FFF2-40B4-BE49-F238E27FC236}">
              <a16:creationId xmlns:a16="http://schemas.microsoft.com/office/drawing/2014/main" id="{D2979BD6-CA5C-4466-8943-7544CC7664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81</xdr:row>
      <xdr:rowOff>15479</xdr:rowOff>
    </xdr:from>
    <xdr:to>
      <xdr:col>10</xdr:col>
      <xdr:colOff>623173</xdr:colOff>
      <xdr:row>96</xdr:row>
      <xdr:rowOff>85487</xdr:rowOff>
    </xdr:to>
    <xdr:graphicFrame macro="">
      <xdr:nvGraphicFramePr>
        <xdr:cNvPr id="4" name="Chart 3">
          <a:extLst>
            <a:ext uri="{FF2B5EF4-FFF2-40B4-BE49-F238E27FC236}">
              <a16:creationId xmlns:a16="http://schemas.microsoft.com/office/drawing/2014/main" id="{ECC87B1F-8E5B-4D7C-9E75-E022686A5C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36332E6-A716-417A-B018-043088ED2078}" name="Table3" displayName="Table3" ref="A221:N276" totalsRowShown="0" headerRowDxfId="47" dataDxfId="46">
  <autoFilter ref="A221:N276" xr:uid="{D82A038E-B852-4168-847C-05DDC63C3406}"/>
  <sortState xmlns:xlrd2="http://schemas.microsoft.com/office/spreadsheetml/2017/richdata2" ref="A222:N276">
    <sortCondition ref="N221:N276"/>
  </sortState>
  <tableColumns count="14">
    <tableColumn id="1" xr3:uid="{642C7B6F-EEBE-4570-8B73-F556B9A29331}" name="Column1" dataDxfId="45"/>
    <tableColumn id="2" xr3:uid="{CA1B52D2-6669-4FAF-84C8-A0925B873E6D}" name="Column2" dataDxfId="44"/>
    <tableColumn id="3" xr3:uid="{BA135BFB-35F3-40F2-B0B2-BD853061C3DE}" name="Column3" dataDxfId="43"/>
    <tableColumn id="4" xr3:uid="{1B80552B-CE20-4C62-887B-68856C1EF463}" name="Column4" dataDxfId="42"/>
    <tableColumn id="5" xr3:uid="{556F6ED6-5EEF-45AB-8E4F-C44355E530FF}" name="Column5" dataDxfId="41"/>
    <tableColumn id="6" xr3:uid="{1FC26DD3-6A5A-46B6-9B8B-7F6D055231C4}" name="Column6" dataDxfId="40"/>
    <tableColumn id="7" xr3:uid="{F67B1722-8F87-4FDF-B03B-2FA82F7FBCBE}" name="Column7" dataDxfId="39"/>
    <tableColumn id="8" xr3:uid="{B566951C-1B99-405A-AA91-919CD59332EC}" name="Column8" dataDxfId="38"/>
    <tableColumn id="9" xr3:uid="{E0790A14-C709-4535-91A8-47ABA651D911}" name="Column9" dataDxfId="37"/>
    <tableColumn id="10" xr3:uid="{3407219C-B6FD-4723-85AC-73A18FE9A8C3}" name="Column10" dataDxfId="36"/>
    <tableColumn id="11" xr3:uid="{8E306026-18E2-40B7-8EA7-4E4250C2B3FC}" name="Column11" dataDxfId="35"/>
    <tableColumn id="12" xr3:uid="{3035D54E-21EE-4C9D-AF3D-0E781BA6A478}" name="Column12" dataDxfId="34"/>
    <tableColumn id="13" xr3:uid="{3FD35620-B07F-4DB3-A2BC-03778F8C816D}" name="Column13" dataDxfId="33"/>
    <tableColumn id="14" xr3:uid="{78A48ADC-40A1-40EB-900F-3C488EECCDC4}" name="Column14" dataDxfId="3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8FB3F38-D4F7-4306-9901-0AF103A4C5B1}" name="Table4" displayName="Table4" ref="A277:N332" totalsRowShown="0" headerRowDxfId="31" dataDxfId="30">
  <autoFilter ref="A277:N332" xr:uid="{22C565DB-AFF6-407F-8A93-F7A070A0DBA5}"/>
  <sortState xmlns:xlrd2="http://schemas.microsoft.com/office/spreadsheetml/2017/richdata2" ref="A278:N332">
    <sortCondition ref="N277:N332"/>
  </sortState>
  <tableColumns count="14">
    <tableColumn id="1" xr3:uid="{B5269A6E-7462-4701-9845-6A9F39220178}" name="Column1" dataDxfId="29"/>
    <tableColumn id="2" xr3:uid="{AE5A671C-4501-466B-8CF3-DC0506974F9D}" name="Column2" dataDxfId="28"/>
    <tableColumn id="3" xr3:uid="{DADA28C4-40E9-4811-8B33-0F13F21F0915}" name="Column3" dataDxfId="27"/>
    <tableColumn id="4" xr3:uid="{8B062A7C-3531-4888-864B-2BE1F9647A9D}" name="Column4" dataDxfId="26"/>
    <tableColumn id="5" xr3:uid="{157DA6A1-9A88-4D76-A2B2-2F9F8A045FE1}" name="Column5" dataDxfId="25"/>
    <tableColumn id="6" xr3:uid="{86A1D36F-175A-45D2-B804-69CF4D8C8B5B}" name="Column6" dataDxfId="24"/>
    <tableColumn id="7" xr3:uid="{6D7082C6-6B37-40FF-989E-3B2C57698C39}" name="Column7" dataDxfId="23"/>
    <tableColumn id="8" xr3:uid="{46341812-39BA-417B-A63E-E75C12B42E71}" name="Column8" dataDxfId="22"/>
    <tableColumn id="9" xr3:uid="{AD0DBEED-B354-4269-914E-F611727B49FB}" name="Column9" dataDxfId="21"/>
    <tableColumn id="10" xr3:uid="{2B3B3CEE-27AB-4B54-9934-E0CF77437AAB}" name="Column10" dataDxfId="20"/>
    <tableColumn id="11" xr3:uid="{2730232B-F64E-49BD-9D45-A754B79D6511}" name="Column11" dataDxfId="19"/>
    <tableColumn id="12" xr3:uid="{8B0DE0DC-B0DF-4FDD-AB64-97D8C9B4BD6D}" name="Column12" dataDxfId="18"/>
    <tableColumn id="13" xr3:uid="{95E6F6F2-B62A-4F1C-8E15-08B948A40E50}" name="Column13" dataDxfId="17"/>
    <tableColumn id="14" xr3:uid="{5B91D54F-7D73-46F3-BEDB-3CF59EBB0F18}" name="Column14" dataDxfId="16"/>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8D3A972-90A0-4490-9B8D-7C1B36D1B463}" name="Table5" displayName="Table5" ref="A333:N388" totalsRowShown="0" headerRowDxfId="15" dataDxfId="14">
  <autoFilter ref="A333:N388" xr:uid="{835252BA-7A53-41CE-80AF-37CD8D68987D}"/>
  <sortState xmlns:xlrd2="http://schemas.microsoft.com/office/spreadsheetml/2017/richdata2" ref="A334:N388">
    <sortCondition ref="N333:N388"/>
  </sortState>
  <tableColumns count="14">
    <tableColumn id="1" xr3:uid="{1E72F3D5-5262-498A-AF66-C5360142AA09}" name="Column1" dataDxfId="13"/>
    <tableColumn id="2" xr3:uid="{79E2B8DD-2C98-44AC-A07B-2557D0EEC29E}" name="Column2" dataDxfId="12"/>
    <tableColumn id="3" xr3:uid="{851A39DC-1034-45AA-9CAC-0BF8A749EE7E}" name="Column3" dataDxfId="11"/>
    <tableColumn id="4" xr3:uid="{9D83BD3A-7F34-4212-8031-D56CAD4B5F33}" name="Column4" dataDxfId="10"/>
    <tableColumn id="5" xr3:uid="{CA5A0202-14B7-4D3E-A2E6-2EFD265EA843}" name="Column5" dataDxfId="9"/>
    <tableColumn id="6" xr3:uid="{609D39E3-72EA-4C46-B9BF-0E0C7A29C639}" name="Column6" dataDxfId="8"/>
    <tableColumn id="7" xr3:uid="{3A5760FA-A1C9-4513-A0D4-425F24D0250C}" name="Column7" dataDxfId="7"/>
    <tableColumn id="8" xr3:uid="{B865EC56-81EC-46C5-B7A0-3E3A640C279B}" name="Column8" dataDxfId="6"/>
    <tableColumn id="9" xr3:uid="{2F5E9D5B-FE7E-493A-8E3C-43536212BC02}" name="Column9" dataDxfId="5"/>
    <tableColumn id="10" xr3:uid="{F0272C02-9A89-4C6C-A292-6C2D3A0AD087}" name="Column10" dataDxfId="4"/>
    <tableColumn id="11" xr3:uid="{51DDD7F4-CDF1-4EAB-81D1-CD03E8A9AFAE}" name="Column11" dataDxfId="3"/>
    <tableColumn id="12" xr3:uid="{9FA2BA46-AEAC-4127-8487-349EC730B76B}" name="Column12" dataDxfId="2"/>
    <tableColumn id="13" xr3:uid="{6E2E6422-D887-4436-B7F4-05509AFEA3F4}" name="Column13" dataDxfId="1"/>
    <tableColumn id="14" xr3:uid="{E925006F-CFCF-48AE-A5C6-482A6570DA60}" name="Column14" dataDxfId="0"/>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skatteetaten.no/en/business-and-organisation/vat-and-duties/excise-duties/about-the-excise-duties/mineral-product/" TargetMode="External"/><Relationship Id="rId2" Type="http://schemas.openxmlformats.org/officeDocument/2006/relationships/hyperlink" Target="https://www.researchgate.net/publication/351748799_Assessing_the_Link_between_Vessel_Size_and_Maritime_Supply_Chain_Sustainable_Performance/figures?lo=1" TargetMode="External"/><Relationship Id="rId1" Type="http://schemas.openxmlformats.org/officeDocument/2006/relationships/hyperlink" Target="https://www.nowtricity.com/country/norway/"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skatteetaten.no/en/business-and-organisation/vat-and-duties/excise-duties/about-the-excise-duties/road-tax-on-fue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6.bin"/><Relationship Id="rId5" Type="http://schemas.openxmlformats.org/officeDocument/2006/relationships/table" Target="../tables/table3.xml"/><Relationship Id="rId4"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E807C-2C66-4D3C-B0A2-660CDF521613}">
  <dimension ref="A1"/>
  <sheetViews>
    <sheetView workbookViewId="0">
      <selection activeCell="C47" sqref="C47"/>
    </sheetView>
  </sheetViews>
  <sheetFormatPr defaultRowHeight="14.5" x14ac:dyDescent="0.35"/>
  <sheetData>
    <row r="1" spans="1:1" x14ac:dyDescent="0.35">
      <c r="A1" t="s">
        <v>246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C35B6-39CB-4644-A730-665E7DAC12F7}">
  <dimension ref="A1:L107"/>
  <sheetViews>
    <sheetView topLeftCell="B1" zoomScaleNormal="100" workbookViewId="0">
      <selection activeCell="F43" sqref="F43"/>
    </sheetView>
  </sheetViews>
  <sheetFormatPr defaultRowHeight="14.5" x14ac:dyDescent="0.35"/>
  <cols>
    <col min="1" max="1" width="24.08984375" customWidth="1"/>
    <col min="2" max="2" width="15.36328125" bestFit="1" customWidth="1"/>
    <col min="3" max="3" width="12.6328125" bestFit="1" customWidth="1"/>
    <col min="4" max="4" width="12.36328125" customWidth="1"/>
    <col min="5" max="5" width="8.36328125" customWidth="1"/>
    <col min="6" max="6" width="22.6328125" customWidth="1"/>
    <col min="7" max="7" width="24.36328125" customWidth="1"/>
    <col min="8" max="8" width="19.6328125" customWidth="1"/>
    <col min="9" max="9" width="27.54296875" customWidth="1"/>
    <col min="10" max="10" width="22.36328125" customWidth="1"/>
    <col min="11" max="11" width="31.6328125" customWidth="1"/>
    <col min="12" max="12" width="26.08984375" bestFit="1" customWidth="1"/>
  </cols>
  <sheetData>
    <row r="1" spans="1:12" x14ac:dyDescent="0.35">
      <c r="A1" s="99" t="s">
        <v>230</v>
      </c>
      <c r="B1" s="107" t="s">
        <v>234</v>
      </c>
      <c r="C1" s="107" t="s">
        <v>240</v>
      </c>
      <c r="D1" s="107" t="s">
        <v>244</v>
      </c>
      <c r="E1" s="107" t="s">
        <v>245</v>
      </c>
      <c r="F1" s="107" t="s">
        <v>421</v>
      </c>
      <c r="G1" s="107" t="s">
        <v>422</v>
      </c>
      <c r="H1" s="107" t="s">
        <v>423</v>
      </c>
      <c r="I1" s="107" t="s">
        <v>487</v>
      </c>
      <c r="J1" s="107" t="s">
        <v>489</v>
      </c>
      <c r="K1" s="107" t="s">
        <v>488</v>
      </c>
      <c r="L1" s="107" t="s">
        <v>486</v>
      </c>
    </row>
    <row r="2" spans="1:12" x14ac:dyDescent="0.35">
      <c r="A2">
        <v>1</v>
      </c>
      <c r="B2" s="108" t="s">
        <v>220</v>
      </c>
      <c r="C2" s="109" t="s">
        <v>241</v>
      </c>
      <c r="D2" s="109" t="s">
        <v>167</v>
      </c>
      <c r="E2" s="109" t="s">
        <v>225</v>
      </c>
      <c r="F2" s="110">
        <f t="shared" ref="F2:F7" si="0">C44+C61</f>
        <v>6</v>
      </c>
      <c r="G2">
        <f>D25+I25+D30+I30</f>
        <v>14.924469136612977</v>
      </c>
      <c r="H2" s="99">
        <f>F2+G2</f>
        <v>20.924469136612977</v>
      </c>
      <c r="I2" s="134">
        <f>B88/60+(B97*('Parameter Input'!B215*'Parameter Input'!B216))/60</f>
        <v>19.46</v>
      </c>
      <c r="J2" s="134">
        <f>(B97*('Parameter Input'!B150*'Parameter Input'!B151))/60</f>
        <v>2.3893333333333335</v>
      </c>
      <c r="K2" s="134">
        <f>I2+J2</f>
        <v>21.849333333333334</v>
      </c>
      <c r="L2">
        <f>B105</f>
        <v>24</v>
      </c>
    </row>
    <row r="3" spans="1:12" x14ac:dyDescent="0.35">
      <c r="A3">
        <v>2</v>
      </c>
      <c r="B3" s="111" t="s">
        <v>220</v>
      </c>
      <c r="C3" t="s">
        <v>242</v>
      </c>
      <c r="D3" t="s">
        <v>167</v>
      </c>
      <c r="E3" t="s">
        <v>219</v>
      </c>
      <c r="F3" s="112">
        <f t="shared" si="0"/>
        <v>8</v>
      </c>
      <c r="G3">
        <f>D25+I25+D36+I36</f>
        <v>22.96171802054155</v>
      </c>
      <c r="H3" s="99">
        <f t="shared" ref="H3:H16" si="1">F3+G3</f>
        <v>30.96171802054155</v>
      </c>
      <c r="I3" s="134">
        <f>B88/60+(B97*('Parameter Input'!B215*'Parameter Input'!B216))/60</f>
        <v>19.46</v>
      </c>
      <c r="J3" s="134">
        <f>(B97*('Parameter Input'!B80*'Parameter Input'!B81))/60</f>
        <v>2.3333333333333331E-2</v>
      </c>
      <c r="K3" s="134">
        <f t="shared" ref="K3:K16" si="2">I3+J3</f>
        <v>19.483333333333334</v>
      </c>
      <c r="L3">
        <f>B105</f>
        <v>24</v>
      </c>
    </row>
    <row r="4" spans="1:12" x14ac:dyDescent="0.35">
      <c r="A4">
        <v>3</v>
      </c>
      <c r="B4" s="111" t="s">
        <v>220</v>
      </c>
      <c r="C4" t="s">
        <v>243</v>
      </c>
      <c r="D4" t="s">
        <v>225</v>
      </c>
      <c r="E4" t="s">
        <v>219</v>
      </c>
      <c r="F4" s="112">
        <f t="shared" si="0"/>
        <v>6</v>
      </c>
      <c r="G4">
        <f>D30+I30+D36+I36</f>
        <v>12.105608258928573</v>
      </c>
      <c r="H4" s="99">
        <f t="shared" si="1"/>
        <v>18.105608258928573</v>
      </c>
      <c r="I4" s="134">
        <f>B97*('Parameter Input'!B150*'Parameter Input'!B151)/60</f>
        <v>2.3893333333333335</v>
      </c>
      <c r="J4" s="134">
        <f>B97*('Parameter Input'!B80*'Parameter Input'!B81)/60</f>
        <v>2.3333333333333331E-2</v>
      </c>
      <c r="K4" s="134">
        <f t="shared" si="2"/>
        <v>2.412666666666667</v>
      </c>
      <c r="L4">
        <f>B105</f>
        <v>24</v>
      </c>
    </row>
    <row r="5" spans="1:12" x14ac:dyDescent="0.35">
      <c r="A5">
        <v>4</v>
      </c>
      <c r="B5" s="135" t="s">
        <v>221</v>
      </c>
      <c r="C5" s="136" t="s">
        <v>241</v>
      </c>
      <c r="D5" s="109" t="s">
        <v>167</v>
      </c>
      <c r="E5" s="109" t="s">
        <v>225</v>
      </c>
      <c r="F5" s="110">
        <f t="shared" si="0"/>
        <v>14</v>
      </c>
      <c r="G5">
        <v>0</v>
      </c>
      <c r="H5" s="99">
        <v>0</v>
      </c>
      <c r="I5" s="134">
        <v>0</v>
      </c>
      <c r="J5" s="134">
        <v>0</v>
      </c>
      <c r="K5" s="134">
        <v>0</v>
      </c>
      <c r="L5" s="134">
        <v>0</v>
      </c>
    </row>
    <row r="6" spans="1:12" x14ac:dyDescent="0.35">
      <c r="A6">
        <v>5</v>
      </c>
      <c r="B6" s="137" t="s">
        <v>221</v>
      </c>
      <c r="C6" s="138" t="s">
        <v>242</v>
      </c>
      <c r="D6" t="s">
        <v>167</v>
      </c>
      <c r="E6" t="s">
        <v>219</v>
      </c>
      <c r="F6" s="112">
        <f t="shared" si="0"/>
        <v>17</v>
      </c>
      <c r="G6">
        <v>0</v>
      </c>
      <c r="H6" s="99">
        <v>0</v>
      </c>
      <c r="I6" s="134">
        <v>0</v>
      </c>
      <c r="J6" s="134">
        <v>0</v>
      </c>
      <c r="K6" s="134">
        <v>0</v>
      </c>
      <c r="L6" s="134">
        <v>0</v>
      </c>
    </row>
    <row r="7" spans="1:12" x14ac:dyDescent="0.35">
      <c r="A7">
        <v>6</v>
      </c>
      <c r="B7" s="113" t="s">
        <v>221</v>
      </c>
      <c r="C7" s="114" t="s">
        <v>243</v>
      </c>
      <c r="D7" s="114" t="s">
        <v>225</v>
      </c>
      <c r="E7" s="114" t="s">
        <v>219</v>
      </c>
      <c r="F7" s="112">
        <f t="shared" si="0"/>
        <v>14</v>
      </c>
      <c r="G7">
        <f>D32+I32+D38+I38</f>
        <v>30.901436941964285</v>
      </c>
      <c r="H7" s="99">
        <f t="shared" si="1"/>
        <v>44.901436941964285</v>
      </c>
      <c r="I7" s="134">
        <f>B99*('Parameter Input'!B162*'Parameter Input'!B163)/60</f>
        <v>15.928888888888888</v>
      </c>
      <c r="J7" s="134">
        <f>B99*('Parameter Input'!B92*'Parameter Input'!B93)/60</f>
        <v>0.26666666666666666</v>
      </c>
      <c r="K7" s="134">
        <f t="shared" si="2"/>
        <v>16.195555555555554</v>
      </c>
      <c r="L7">
        <f>B107</f>
        <v>24</v>
      </c>
    </row>
    <row r="8" spans="1:12" x14ac:dyDescent="0.35">
      <c r="A8">
        <v>7</v>
      </c>
      <c r="B8" s="111" t="s">
        <v>222</v>
      </c>
      <c r="C8" t="s">
        <v>241</v>
      </c>
      <c r="D8" t="s">
        <v>167</v>
      </c>
      <c r="E8" t="s">
        <v>225</v>
      </c>
      <c r="F8" s="110">
        <f>C50+C67-F43</f>
        <v>76</v>
      </c>
      <c r="G8">
        <f>D23+I23+D28+I28</f>
        <v>416.07027392776394</v>
      </c>
      <c r="H8" s="99">
        <f t="shared" si="1"/>
        <v>492.07027392776394</v>
      </c>
      <c r="I8" s="134">
        <f>B89/60+(B95*'Parameter Input'!B227*'Parameter Input'!B228)/60</f>
        <v>23.358333333333334</v>
      </c>
      <c r="J8" s="134">
        <f>B95*('Parameter Input'!B174*'Parameter Input'!B175)/60</f>
        <v>3.9822222222222221</v>
      </c>
      <c r="K8" s="134">
        <f t="shared" si="2"/>
        <v>27.340555555555557</v>
      </c>
      <c r="L8">
        <f>B103</f>
        <v>8</v>
      </c>
    </row>
    <row r="9" spans="1:12" x14ac:dyDescent="0.35">
      <c r="A9">
        <v>8</v>
      </c>
      <c r="B9" s="111" t="s">
        <v>222</v>
      </c>
      <c r="C9" t="s">
        <v>242</v>
      </c>
      <c r="D9" t="s">
        <v>167</v>
      </c>
      <c r="E9" t="s">
        <v>219</v>
      </c>
      <c r="F9" s="112">
        <f>C51+C68-F43</f>
        <v>37</v>
      </c>
      <c r="G9">
        <f>D23+I23+D34+I34</f>
        <v>389.18687306402171</v>
      </c>
      <c r="H9" s="99">
        <f t="shared" si="1"/>
        <v>426.18687306402171</v>
      </c>
      <c r="I9" s="134">
        <f>B89/60+(B95*'Parameter Input'!B227*'Parameter Input'!B228)/60</f>
        <v>23.358333333333334</v>
      </c>
      <c r="J9" s="134">
        <f>B95*('Parameter Input'!B105*'Parameter Input'!B106)/60</f>
        <v>6.3888888888888898E-2</v>
      </c>
      <c r="K9" s="134">
        <f t="shared" si="2"/>
        <v>23.422222222222224</v>
      </c>
      <c r="L9">
        <f>B103</f>
        <v>8</v>
      </c>
    </row>
    <row r="10" spans="1:12" x14ac:dyDescent="0.35">
      <c r="A10">
        <v>9</v>
      </c>
      <c r="B10" s="111" t="s">
        <v>222</v>
      </c>
      <c r="C10" t="s">
        <v>243</v>
      </c>
      <c r="D10" t="s">
        <v>225</v>
      </c>
      <c r="E10" t="s">
        <v>219</v>
      </c>
      <c r="F10" s="112">
        <f>C52+C69-F43</f>
        <v>55</v>
      </c>
      <c r="G10">
        <f>D28+I28+D34+I34</f>
        <v>407.18774868982922</v>
      </c>
      <c r="H10" s="99">
        <f t="shared" si="1"/>
        <v>462.18774868982922</v>
      </c>
      <c r="I10" s="134">
        <f>B95*('Parameter Input'!B174*'Parameter Input'!B175)/60</f>
        <v>3.9822222222222221</v>
      </c>
      <c r="J10" s="134">
        <f>B95*('Parameter Input'!B105*'Parameter Input'!B106)/60</f>
        <v>6.3888888888888898E-2</v>
      </c>
      <c r="K10" s="134">
        <f t="shared" si="2"/>
        <v>4.0461111111111112</v>
      </c>
      <c r="L10">
        <f>B103</f>
        <v>8</v>
      </c>
    </row>
    <row r="11" spans="1:12" x14ac:dyDescent="0.35">
      <c r="A11">
        <v>10</v>
      </c>
      <c r="B11" s="108" t="s">
        <v>223</v>
      </c>
      <c r="C11" s="109" t="s">
        <v>241</v>
      </c>
      <c r="D11" s="109" t="s">
        <v>167</v>
      </c>
      <c r="E11" s="109" t="s">
        <v>225</v>
      </c>
      <c r="F11" s="110">
        <f t="shared" ref="F11:F16" si="3">C53+C70</f>
        <v>311</v>
      </c>
      <c r="G11">
        <f>D24+I24+D29+I29</f>
        <v>311.03817536630032</v>
      </c>
      <c r="H11" s="99">
        <f t="shared" si="1"/>
        <v>622.03817536630027</v>
      </c>
      <c r="I11" s="134">
        <f>B90/60+(B96*('Parameter Input'!B239*'Parameter Input'!B240))/60</f>
        <v>21.208333333333336</v>
      </c>
      <c r="J11" s="134">
        <f>B96*('Parameter Input'!B186*'Parameter Input'!B187)/60</f>
        <v>6.7200000000000006</v>
      </c>
      <c r="K11" s="134">
        <f t="shared" si="2"/>
        <v>27.928333333333335</v>
      </c>
      <c r="L11">
        <f>B104</f>
        <v>8</v>
      </c>
    </row>
    <row r="12" spans="1:12" x14ac:dyDescent="0.35">
      <c r="A12">
        <v>11</v>
      </c>
      <c r="B12" s="111" t="s">
        <v>223</v>
      </c>
      <c r="C12" t="s">
        <v>242</v>
      </c>
      <c r="D12" t="s">
        <v>167</v>
      </c>
      <c r="E12" t="s">
        <v>219</v>
      </c>
      <c r="F12" s="112">
        <f t="shared" si="3"/>
        <v>294</v>
      </c>
      <c r="G12">
        <f>D24+I24+D35+I35</f>
        <v>239.32144184318099</v>
      </c>
      <c r="H12" s="99">
        <f t="shared" si="1"/>
        <v>533.32144184318099</v>
      </c>
      <c r="I12" s="134">
        <f>B90/60+(B96*('Parameter Input'!B239*'Parameter Input'!B240))/60</f>
        <v>21.208333333333336</v>
      </c>
      <c r="J12" s="134">
        <f>B96*('Parameter Input'!B118*'Parameter Input'!B119)/60</f>
        <v>6.3888888888888898E-2</v>
      </c>
      <c r="K12" s="134">
        <f t="shared" si="2"/>
        <v>21.272222222222226</v>
      </c>
      <c r="L12">
        <f>B104</f>
        <v>8</v>
      </c>
    </row>
    <row r="13" spans="1:12" x14ac:dyDescent="0.35">
      <c r="A13">
        <v>12</v>
      </c>
      <c r="B13" s="113" t="s">
        <v>223</v>
      </c>
      <c r="C13" s="114" t="s">
        <v>243</v>
      </c>
      <c r="D13" s="114" t="s">
        <v>225</v>
      </c>
      <c r="E13" s="114" t="s">
        <v>219</v>
      </c>
      <c r="F13" s="112">
        <f t="shared" si="3"/>
        <v>417</v>
      </c>
      <c r="G13">
        <f>D29+I29+D35+I35</f>
        <v>362.32542917529332</v>
      </c>
      <c r="H13" s="99">
        <f t="shared" si="1"/>
        <v>779.32542917529327</v>
      </c>
      <c r="I13" s="134">
        <f>B96*('Parameter Input'!B186*'Parameter Input'!B187)/60</f>
        <v>6.7200000000000006</v>
      </c>
      <c r="J13" s="134">
        <f>B96*('Parameter Input'!B118*'Parameter Input'!B119)/60</f>
        <v>6.3888888888888898E-2</v>
      </c>
      <c r="K13" s="134">
        <f t="shared" si="2"/>
        <v>6.7838888888888897</v>
      </c>
      <c r="L13">
        <f>B104</f>
        <v>8</v>
      </c>
    </row>
    <row r="14" spans="1:12" x14ac:dyDescent="0.35">
      <c r="A14">
        <v>13</v>
      </c>
      <c r="B14" s="108" t="s">
        <v>224</v>
      </c>
      <c r="C14" s="109" t="s">
        <v>241</v>
      </c>
      <c r="D14" s="109" t="s">
        <v>167</v>
      </c>
      <c r="E14" s="109" t="s">
        <v>225</v>
      </c>
      <c r="F14" s="110">
        <f t="shared" si="3"/>
        <v>107</v>
      </c>
      <c r="G14">
        <f>D26+I26+D31+I31</f>
        <v>95.190178328275749</v>
      </c>
      <c r="H14" s="99">
        <f t="shared" si="1"/>
        <v>202.19017832827575</v>
      </c>
      <c r="I14" s="134">
        <f>B90/60+(B98*'Parameter Input'!B252*'Parameter Input'!B253)/60</f>
        <v>38.218333333333341</v>
      </c>
      <c r="J14" s="134">
        <f>(B98*'Parameter Input'!B197*'Parameter Input'!B198)/60</f>
        <v>6.9688888888888885</v>
      </c>
      <c r="K14" s="134">
        <f t="shared" si="2"/>
        <v>45.187222222222232</v>
      </c>
      <c r="L14">
        <f>B106</f>
        <v>24</v>
      </c>
    </row>
    <row r="15" spans="1:12" x14ac:dyDescent="0.35">
      <c r="A15">
        <v>14</v>
      </c>
      <c r="B15" s="111" t="s">
        <v>224</v>
      </c>
      <c r="C15" t="s">
        <v>242</v>
      </c>
      <c r="D15" t="s">
        <v>167</v>
      </c>
      <c r="E15" t="s">
        <v>219</v>
      </c>
      <c r="F15" s="112">
        <f t="shared" si="3"/>
        <v>102</v>
      </c>
      <c r="G15">
        <f>D26+I26+D37+I37</f>
        <v>105.19854886399004</v>
      </c>
      <c r="H15" s="99">
        <f t="shared" si="1"/>
        <v>207.19854886399003</v>
      </c>
      <c r="I15" s="134">
        <f>B90/60+(B98*'Parameter Input'!B252*'Parameter Input'!B253)/60</f>
        <v>38.218333333333341</v>
      </c>
      <c r="J15" s="134">
        <f>(B98*'Parameter Input'!B132*'Parameter Input'!B133)/60</f>
        <v>9.3333333333333338E-2</v>
      </c>
      <c r="K15" s="134">
        <f t="shared" si="2"/>
        <v>38.311666666666675</v>
      </c>
      <c r="L15">
        <f>B106</f>
        <v>24</v>
      </c>
    </row>
    <row r="16" spans="1:12" x14ac:dyDescent="0.35">
      <c r="A16">
        <v>15</v>
      </c>
      <c r="B16" s="113" t="s">
        <v>224</v>
      </c>
      <c r="C16" s="114" t="s">
        <v>243</v>
      </c>
      <c r="D16" s="114" t="s">
        <v>225</v>
      </c>
      <c r="E16" s="114" t="s">
        <v>219</v>
      </c>
      <c r="F16" s="115">
        <f t="shared" si="3"/>
        <v>57</v>
      </c>
      <c r="G16">
        <f>D31+I31+D37+I37</f>
        <v>48.366629464285715</v>
      </c>
      <c r="H16" s="99">
        <f t="shared" si="1"/>
        <v>105.36662946428572</v>
      </c>
      <c r="I16" s="134">
        <f>(B98*'Parameter Input'!B197*'Parameter Input'!B198)/60</f>
        <v>6.9688888888888885</v>
      </c>
      <c r="J16" s="134">
        <f>(B98*'Parameter Input'!B132*'Parameter Input'!B133)/60</f>
        <v>9.3333333333333338E-2</v>
      </c>
      <c r="K16" s="134">
        <f t="shared" si="2"/>
        <v>7.0622222222222222</v>
      </c>
      <c r="L16">
        <f>B106</f>
        <v>24</v>
      </c>
    </row>
    <row r="19" spans="1:9" x14ac:dyDescent="0.35">
      <c r="A19" t="s">
        <v>424</v>
      </c>
    </row>
    <row r="21" spans="1:9" x14ac:dyDescent="0.35">
      <c r="A21" s="139" t="s">
        <v>425</v>
      </c>
    </row>
    <row r="22" spans="1:9" x14ac:dyDescent="0.35">
      <c r="B22" t="s">
        <v>234</v>
      </c>
      <c r="C22" t="s">
        <v>217</v>
      </c>
      <c r="D22" t="s">
        <v>426</v>
      </c>
      <c r="E22" t="s">
        <v>427</v>
      </c>
      <c r="H22" s="140" t="s">
        <v>428</v>
      </c>
      <c r="I22" t="s">
        <v>426</v>
      </c>
    </row>
    <row r="23" spans="1:9" ht="14.4" customHeight="1" x14ac:dyDescent="0.35">
      <c r="A23" t="s">
        <v>429</v>
      </c>
      <c r="B23" t="s">
        <v>222</v>
      </c>
      <c r="C23" t="s">
        <v>167</v>
      </c>
      <c r="D23">
        <v>199</v>
      </c>
      <c r="E23">
        <v>188</v>
      </c>
      <c r="F23" t="s">
        <v>430</v>
      </c>
      <c r="I23">
        <f>E23/('Parameter Input'!B227*'Parameter Input'!B228)</f>
        <v>3.4699150978220746E-2</v>
      </c>
    </row>
    <row r="24" spans="1:9" x14ac:dyDescent="0.35">
      <c r="A24" t="s">
        <v>431</v>
      </c>
      <c r="B24" t="s">
        <v>223</v>
      </c>
      <c r="C24" t="s">
        <v>167</v>
      </c>
      <c r="D24">
        <v>94</v>
      </c>
      <c r="E24">
        <v>84</v>
      </c>
      <c r="I24">
        <f>E24/('Parameter Input'!B239*'Parameter Input'!B240)</f>
        <v>1.7094017094017096E-2</v>
      </c>
    </row>
    <row r="25" spans="1:9" x14ac:dyDescent="0.35">
      <c r="A25" t="s">
        <v>432</v>
      </c>
      <c r="B25" t="s">
        <v>433</v>
      </c>
      <c r="C25" t="s">
        <v>167</v>
      </c>
      <c r="D25">
        <v>7</v>
      </c>
      <c r="E25">
        <v>37851</v>
      </c>
      <c r="I25">
        <f>E25/('Parameter Input'!B215*'Parameter Input'!B216)</f>
        <v>5.890289449112978</v>
      </c>
    </row>
    <row r="26" spans="1:9" x14ac:dyDescent="0.35">
      <c r="A26" t="s">
        <v>434</v>
      </c>
      <c r="B26" t="s">
        <v>224</v>
      </c>
      <c r="C26" t="s">
        <v>167</v>
      </c>
      <c r="D26">
        <v>76</v>
      </c>
      <c r="E26">
        <v>71</v>
      </c>
      <c r="I26">
        <f>E26/('Parameter Input'!B252*'Parameter Input'!B253)</f>
        <v>1.1048863990040458E-2</v>
      </c>
    </row>
    <row r="28" spans="1:9" x14ac:dyDescent="0.35">
      <c r="A28" t="s">
        <v>435</v>
      </c>
      <c r="B28" t="s">
        <v>222</v>
      </c>
      <c r="C28" t="s">
        <v>225</v>
      </c>
      <c r="D28">
        <v>217</v>
      </c>
      <c r="E28">
        <v>34</v>
      </c>
      <c r="F28" t="s">
        <v>436</v>
      </c>
      <c r="I28">
        <f>E28/('Parameter Input'!B174*'Parameter Input'!B175)</f>
        <v>3.5574776785714288E-2</v>
      </c>
    </row>
    <row r="29" spans="1:9" x14ac:dyDescent="0.35">
      <c r="A29" t="s">
        <v>437</v>
      </c>
      <c r="B29" t="s">
        <v>223</v>
      </c>
      <c r="C29" t="s">
        <v>225</v>
      </c>
      <c r="D29">
        <v>217</v>
      </c>
      <c r="E29">
        <v>34</v>
      </c>
      <c r="I29">
        <f>E29/('Parameter Input'!B186*'Parameter Input'!B187)</f>
        <v>2.1081349206349204E-2</v>
      </c>
    </row>
    <row r="30" spans="1:9" x14ac:dyDescent="0.35">
      <c r="A30" t="s">
        <v>438</v>
      </c>
      <c r="B30" t="s">
        <v>433</v>
      </c>
      <c r="C30" t="s">
        <v>225</v>
      </c>
      <c r="D30">
        <v>2</v>
      </c>
      <c r="E30">
        <v>49</v>
      </c>
      <c r="I30">
        <f>E30/('Parameter Input'!B150*'Parameter Input'!B151)</f>
        <v>3.41796875E-2</v>
      </c>
    </row>
    <row r="31" spans="1:9" x14ac:dyDescent="0.35">
      <c r="A31" t="s">
        <v>439</v>
      </c>
      <c r="B31" t="s">
        <v>224</v>
      </c>
      <c r="C31" t="s">
        <v>225</v>
      </c>
      <c r="D31">
        <v>19</v>
      </c>
      <c r="E31">
        <v>214</v>
      </c>
      <c r="I31">
        <f>E31/('Parameter Input'!B197*'Parameter Input'!B198)</f>
        <v>0.17912946428571427</v>
      </c>
    </row>
    <row r="32" spans="1:9" x14ac:dyDescent="0.35">
      <c r="A32" t="s">
        <v>440</v>
      </c>
      <c r="B32" t="s">
        <v>221</v>
      </c>
      <c r="C32" t="s">
        <v>225</v>
      </c>
      <c r="D32">
        <v>9</v>
      </c>
      <c r="E32">
        <v>85</v>
      </c>
      <c r="I32">
        <f>E32/('Parameter Input'!B162*'Parameter Input'!B163)</f>
        <v>8.8936941964285712E-2</v>
      </c>
    </row>
    <row r="34" spans="1:9" x14ac:dyDescent="0.35">
      <c r="A34" t="s">
        <v>441</v>
      </c>
      <c r="B34" t="s">
        <v>222</v>
      </c>
      <c r="C34" t="s">
        <v>219</v>
      </c>
      <c r="D34">
        <v>179</v>
      </c>
      <c r="E34">
        <v>171</v>
      </c>
      <c r="F34" t="s">
        <v>442</v>
      </c>
      <c r="I34">
        <f>E34/('Parameter Input'!B105*'Parameter Input'!B106)</f>
        <v>11.152173913043477</v>
      </c>
    </row>
    <row r="35" spans="1:9" x14ac:dyDescent="0.35">
      <c r="A35" t="s">
        <v>443</v>
      </c>
      <c r="B35" t="s">
        <v>223</v>
      </c>
      <c r="C35" t="s">
        <v>219</v>
      </c>
      <c r="D35">
        <v>135</v>
      </c>
      <c r="E35">
        <v>158</v>
      </c>
      <c r="I35">
        <f>E35/('Parameter Input'!B118*'Parameter Input'!B119)</f>
        <v>10.304347826086955</v>
      </c>
    </row>
    <row r="36" spans="1:9" x14ac:dyDescent="0.35">
      <c r="A36" t="s">
        <v>444</v>
      </c>
      <c r="B36" t="s">
        <v>433</v>
      </c>
      <c r="C36" t="s">
        <v>219</v>
      </c>
      <c r="D36">
        <v>4</v>
      </c>
      <c r="E36">
        <v>85</v>
      </c>
      <c r="I36">
        <f>E36/('Parameter Input'!B80*'Parameter Input'!B81)</f>
        <v>6.0714285714285721</v>
      </c>
    </row>
    <row r="37" spans="1:9" x14ac:dyDescent="0.35">
      <c r="A37" t="s">
        <v>445</v>
      </c>
      <c r="B37" t="s">
        <v>224</v>
      </c>
      <c r="C37" t="s">
        <v>219</v>
      </c>
      <c r="D37">
        <v>8</v>
      </c>
      <c r="E37">
        <v>339</v>
      </c>
      <c r="I37">
        <f>E37/('Parameter Input'!B132*'Parameter Input'!B133)</f>
        <v>21.1875</v>
      </c>
    </row>
    <row r="38" spans="1:9" x14ac:dyDescent="0.35">
      <c r="A38" t="s">
        <v>446</v>
      </c>
      <c r="B38" t="s">
        <v>221</v>
      </c>
      <c r="C38" t="s">
        <v>219</v>
      </c>
      <c r="D38">
        <v>12</v>
      </c>
      <c r="E38">
        <v>157</v>
      </c>
      <c r="I38">
        <f>E38/('Parameter Input'!B92*'Parameter Input'!B93)</f>
        <v>9.8125</v>
      </c>
    </row>
    <row r="42" spans="1:9" x14ac:dyDescent="0.35">
      <c r="A42" s="139" t="s">
        <v>425</v>
      </c>
      <c r="C42" t="s">
        <v>447</v>
      </c>
      <c r="E42" t="s">
        <v>448</v>
      </c>
      <c r="F42" t="s">
        <v>449</v>
      </c>
    </row>
    <row r="43" spans="1:9" x14ac:dyDescent="0.35">
      <c r="C43" s="107" t="s">
        <v>450</v>
      </c>
      <c r="E43" t="s">
        <v>222</v>
      </c>
      <c r="F43">
        <f>2*170</f>
        <v>340</v>
      </c>
      <c r="G43" t="s">
        <v>451</v>
      </c>
    </row>
    <row r="44" spans="1:9" x14ac:dyDescent="0.35">
      <c r="A44" t="s">
        <v>432</v>
      </c>
      <c r="C44">
        <v>4</v>
      </c>
    </row>
    <row r="45" spans="1:9" x14ac:dyDescent="0.35">
      <c r="A45" t="s">
        <v>432</v>
      </c>
      <c r="C45">
        <v>4</v>
      </c>
    </row>
    <row r="46" spans="1:9" x14ac:dyDescent="0.35">
      <c r="A46" t="s">
        <v>452</v>
      </c>
      <c r="C46">
        <v>2</v>
      </c>
    </row>
    <row r="47" spans="1:9" x14ac:dyDescent="0.35">
      <c r="A47" t="s">
        <v>453</v>
      </c>
      <c r="C47">
        <v>5</v>
      </c>
    </row>
    <row r="48" spans="1:9" x14ac:dyDescent="0.35">
      <c r="A48" t="s">
        <v>453</v>
      </c>
      <c r="C48">
        <v>5</v>
      </c>
    </row>
    <row r="49" spans="1:3" x14ac:dyDescent="0.35">
      <c r="A49" t="s">
        <v>452</v>
      </c>
      <c r="C49">
        <v>2</v>
      </c>
    </row>
    <row r="50" spans="1:3" x14ac:dyDescent="0.35">
      <c r="A50" t="s">
        <v>429</v>
      </c>
      <c r="C50">
        <v>199</v>
      </c>
    </row>
    <row r="51" spans="1:3" x14ac:dyDescent="0.35">
      <c r="A51" t="s">
        <v>429</v>
      </c>
      <c r="C51">
        <v>199</v>
      </c>
    </row>
    <row r="52" spans="1:3" x14ac:dyDescent="0.35">
      <c r="A52" t="s">
        <v>454</v>
      </c>
      <c r="C52">
        <v>217</v>
      </c>
    </row>
    <row r="53" spans="1:3" x14ac:dyDescent="0.35">
      <c r="A53" t="s">
        <v>455</v>
      </c>
      <c r="C53">
        <v>94</v>
      </c>
    </row>
    <row r="54" spans="1:3" x14ac:dyDescent="0.35">
      <c r="A54" t="s">
        <v>455</v>
      </c>
      <c r="C54">
        <v>94</v>
      </c>
    </row>
    <row r="55" spans="1:3" x14ac:dyDescent="0.35">
      <c r="A55" t="s">
        <v>454</v>
      </c>
      <c r="C55">
        <v>217</v>
      </c>
    </row>
    <row r="56" spans="1:3" x14ac:dyDescent="0.35">
      <c r="A56" t="s">
        <v>434</v>
      </c>
      <c r="C56">
        <v>76</v>
      </c>
    </row>
    <row r="57" spans="1:3" x14ac:dyDescent="0.35">
      <c r="A57" t="s">
        <v>434</v>
      </c>
      <c r="C57">
        <v>76</v>
      </c>
    </row>
    <row r="58" spans="1:3" x14ac:dyDescent="0.35">
      <c r="A58" t="s">
        <v>456</v>
      </c>
      <c r="C58">
        <v>31</v>
      </c>
    </row>
    <row r="60" spans="1:3" x14ac:dyDescent="0.35">
      <c r="C60" s="107" t="s">
        <v>416</v>
      </c>
    </row>
    <row r="61" spans="1:3" x14ac:dyDescent="0.35">
      <c r="A61" t="s">
        <v>452</v>
      </c>
      <c r="C61">
        <v>2</v>
      </c>
    </row>
    <row r="62" spans="1:3" x14ac:dyDescent="0.35">
      <c r="A62" t="s">
        <v>457</v>
      </c>
      <c r="C62">
        <v>4</v>
      </c>
    </row>
    <row r="63" spans="1:3" x14ac:dyDescent="0.35">
      <c r="A63" t="s">
        <v>457</v>
      </c>
      <c r="C63">
        <v>4</v>
      </c>
    </row>
    <row r="64" spans="1:3" x14ac:dyDescent="0.35">
      <c r="A64" t="s">
        <v>458</v>
      </c>
      <c r="C64">
        <v>9</v>
      </c>
    </row>
    <row r="65" spans="1:3" x14ac:dyDescent="0.35">
      <c r="A65" t="s">
        <v>459</v>
      </c>
      <c r="C65">
        <v>12</v>
      </c>
    </row>
    <row r="66" spans="1:3" x14ac:dyDescent="0.35">
      <c r="A66" t="s">
        <v>459</v>
      </c>
      <c r="C66">
        <v>12</v>
      </c>
    </row>
    <row r="67" spans="1:3" x14ac:dyDescent="0.35">
      <c r="A67" t="s">
        <v>454</v>
      </c>
      <c r="C67">
        <v>217</v>
      </c>
    </row>
    <row r="68" spans="1:3" x14ac:dyDescent="0.35">
      <c r="A68" t="s">
        <v>460</v>
      </c>
      <c r="C68">
        <v>178</v>
      </c>
    </row>
    <row r="69" spans="1:3" x14ac:dyDescent="0.35">
      <c r="A69" t="s">
        <v>460</v>
      </c>
      <c r="C69">
        <v>178</v>
      </c>
    </row>
    <row r="70" spans="1:3" x14ac:dyDescent="0.35">
      <c r="A70" t="s">
        <v>454</v>
      </c>
      <c r="C70">
        <v>217</v>
      </c>
    </row>
    <row r="71" spans="1:3" x14ac:dyDescent="0.35">
      <c r="A71" t="s">
        <v>461</v>
      </c>
      <c r="C71">
        <v>200</v>
      </c>
    </row>
    <row r="72" spans="1:3" x14ac:dyDescent="0.35">
      <c r="A72" t="s">
        <v>461</v>
      </c>
      <c r="C72">
        <v>200</v>
      </c>
    </row>
    <row r="73" spans="1:3" x14ac:dyDescent="0.35">
      <c r="A73" t="s">
        <v>456</v>
      </c>
      <c r="C73">
        <v>31</v>
      </c>
    </row>
    <row r="74" spans="1:3" x14ac:dyDescent="0.35">
      <c r="A74" t="s">
        <v>462</v>
      </c>
      <c r="C74">
        <v>26</v>
      </c>
    </row>
    <row r="75" spans="1:3" x14ac:dyDescent="0.35">
      <c r="A75" t="s">
        <v>462</v>
      </c>
      <c r="C75">
        <v>26</v>
      </c>
    </row>
    <row r="86" spans="1:7" x14ac:dyDescent="0.35">
      <c r="A86" t="s">
        <v>484</v>
      </c>
    </row>
    <row r="87" spans="1:7" x14ac:dyDescent="0.35">
      <c r="A87" s="142" t="s">
        <v>463</v>
      </c>
      <c r="B87" t="s">
        <v>464</v>
      </c>
      <c r="C87" t="s">
        <v>465</v>
      </c>
    </row>
    <row r="88" spans="1:7" x14ac:dyDescent="0.35">
      <c r="A88" t="s">
        <v>466</v>
      </c>
      <c r="B88">
        <v>525</v>
      </c>
    </row>
    <row r="89" spans="1:7" x14ac:dyDescent="0.35">
      <c r="A89" t="s">
        <v>222</v>
      </c>
      <c r="B89">
        <v>47</v>
      </c>
    </row>
    <row r="90" spans="1:7" x14ac:dyDescent="0.35">
      <c r="A90" t="s">
        <v>467</v>
      </c>
      <c r="B90">
        <v>44</v>
      </c>
    </row>
    <row r="91" spans="1:7" x14ac:dyDescent="0.35">
      <c r="A91" t="s">
        <v>468</v>
      </c>
      <c r="B91">
        <v>734</v>
      </c>
    </row>
    <row r="93" spans="1:7" x14ac:dyDescent="0.35">
      <c r="A93" t="s">
        <v>485</v>
      </c>
    </row>
    <row r="94" spans="1:7" x14ac:dyDescent="0.35">
      <c r="A94" s="142" t="s">
        <v>469</v>
      </c>
      <c r="C94" t="s">
        <v>470</v>
      </c>
    </row>
    <row r="95" spans="1:7" x14ac:dyDescent="0.35">
      <c r="A95" t="s">
        <v>471</v>
      </c>
      <c r="B95">
        <f>5/20</f>
        <v>0.25</v>
      </c>
      <c r="C95" t="s">
        <v>472</v>
      </c>
      <c r="G95" s="141"/>
    </row>
    <row r="96" spans="1:7" x14ac:dyDescent="0.35">
      <c r="A96" t="s">
        <v>473</v>
      </c>
      <c r="B96">
        <f>5/20</f>
        <v>0.25</v>
      </c>
      <c r="C96" t="s">
        <v>474</v>
      </c>
      <c r="G96" s="141"/>
    </row>
    <row r="97" spans="1:7" x14ac:dyDescent="0.35">
      <c r="A97" t="s">
        <v>475</v>
      </c>
      <c r="B97">
        <v>0.1</v>
      </c>
      <c r="C97" t="s">
        <v>474</v>
      </c>
      <c r="G97" s="141"/>
    </row>
    <row r="98" spans="1:7" x14ac:dyDescent="0.35">
      <c r="A98" t="s">
        <v>476</v>
      </c>
      <c r="B98">
        <f>7/20</f>
        <v>0.35</v>
      </c>
      <c r="C98" t="s">
        <v>474</v>
      </c>
      <c r="G98" s="141"/>
    </row>
    <row r="99" spans="1:7" x14ac:dyDescent="0.35">
      <c r="A99" t="s">
        <v>500</v>
      </c>
      <c r="B99">
        <f>25/25</f>
        <v>1</v>
      </c>
      <c r="C99" t="s">
        <v>501</v>
      </c>
      <c r="G99" s="141"/>
    </row>
    <row r="102" spans="1:7" x14ac:dyDescent="0.35">
      <c r="A102" s="142" t="s">
        <v>477</v>
      </c>
      <c r="C102" t="s">
        <v>478</v>
      </c>
    </row>
    <row r="103" spans="1:7" x14ac:dyDescent="0.35">
      <c r="A103" t="s">
        <v>222</v>
      </c>
      <c r="B103">
        <v>8</v>
      </c>
    </row>
    <row r="104" spans="1:7" x14ac:dyDescent="0.35">
      <c r="A104" t="s">
        <v>223</v>
      </c>
      <c r="B104">
        <v>8</v>
      </c>
    </row>
    <row r="105" spans="1:7" x14ac:dyDescent="0.35">
      <c r="A105" t="s">
        <v>433</v>
      </c>
      <c r="B105">
        <v>24</v>
      </c>
    </row>
    <row r="106" spans="1:7" x14ac:dyDescent="0.35">
      <c r="A106" t="s">
        <v>224</v>
      </c>
      <c r="B106">
        <v>24</v>
      </c>
    </row>
    <row r="107" spans="1:7" x14ac:dyDescent="0.35">
      <c r="A107" t="s">
        <v>221</v>
      </c>
      <c r="B107">
        <v>24</v>
      </c>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36BBC-5577-4D2C-ADFC-0FD570D8520E}">
  <sheetPr codeName="Sheet1">
    <tabColor theme="1" tint="0.249977111117893"/>
  </sheetPr>
  <dimension ref="A1:CI296"/>
  <sheetViews>
    <sheetView tabSelected="1" zoomScale="40" zoomScaleNormal="40" workbookViewId="0">
      <selection activeCell="N21" sqref="N21"/>
    </sheetView>
  </sheetViews>
  <sheetFormatPr defaultColWidth="8.7265625" defaultRowHeight="14.5" x14ac:dyDescent="0.35"/>
  <cols>
    <col min="1" max="1" width="48.7265625" style="4" bestFit="1" customWidth="1"/>
    <col min="2" max="2" width="14" style="4" customWidth="1"/>
    <col min="3" max="3" width="12.453125" style="4" bestFit="1" customWidth="1"/>
    <col min="4" max="4" width="7.81640625" style="4" bestFit="1" customWidth="1"/>
    <col min="5" max="5" width="21.453125" style="4" bestFit="1" customWidth="1"/>
    <col min="6" max="7" width="4.453125" style="4" bestFit="1" customWidth="1"/>
    <col min="8" max="8" width="7" style="4" bestFit="1" customWidth="1"/>
    <col min="9" max="9" width="32.26953125" style="4" bestFit="1" customWidth="1"/>
    <col min="10" max="10" width="28.453125" style="4" customWidth="1"/>
    <col min="11" max="11" width="28.54296875" style="4" bestFit="1" customWidth="1"/>
    <col min="12" max="14" width="14.453125" style="4" bestFit="1" customWidth="1"/>
    <col min="15" max="15" width="21.453125" style="4" bestFit="1" customWidth="1"/>
    <col min="16" max="16" width="5.7265625" style="4" bestFit="1" customWidth="1"/>
    <col min="17" max="17" width="5.453125" style="4" bestFit="1" customWidth="1"/>
    <col min="18" max="18" width="7" style="4" bestFit="1" customWidth="1"/>
    <col min="19" max="19" width="41.54296875" style="4" bestFit="1" customWidth="1"/>
    <col min="20" max="21" width="8.7265625" style="4"/>
    <col min="22" max="22" width="11.54296875" style="4" bestFit="1" customWidth="1"/>
    <col min="23" max="23" width="32.26953125" style="4" bestFit="1" customWidth="1"/>
    <col min="24" max="24" width="12.7265625" style="4" bestFit="1" customWidth="1"/>
    <col min="25" max="25" width="27" style="4" bestFit="1" customWidth="1"/>
    <col min="26" max="26" width="14.7265625" style="4" bestFit="1" customWidth="1"/>
    <col min="27" max="27" width="8.7265625" style="4"/>
    <col min="28" max="28" width="24.453125" style="4" bestFit="1" customWidth="1"/>
    <col min="29" max="29" width="25.54296875" style="4" bestFit="1" customWidth="1"/>
    <col min="30" max="30" width="8.7265625" style="4" customWidth="1"/>
    <col min="31" max="31" width="12.7265625" style="4" bestFit="1" customWidth="1"/>
    <col min="32" max="32" width="8.7265625" style="4"/>
    <col min="33" max="33" width="24.453125" style="4" bestFit="1" customWidth="1"/>
    <col min="34" max="34" width="13.54296875" style="4" bestFit="1" customWidth="1"/>
    <col min="35" max="35" width="8.7265625" style="4" customWidth="1"/>
    <col min="36" max="36" width="11.453125" style="4" bestFit="1" customWidth="1"/>
    <col min="37" max="37" width="8.7265625" style="4"/>
    <col min="38" max="38" width="24.453125" style="4" bestFit="1" customWidth="1"/>
    <col min="39" max="39" width="13.54296875" style="4" bestFit="1" customWidth="1"/>
    <col min="40" max="40" width="8.7265625" style="4" customWidth="1"/>
    <col min="41" max="41" width="11.453125" style="4" bestFit="1" customWidth="1"/>
    <col min="42" max="42" width="39.54296875" style="4" bestFit="1" customWidth="1"/>
    <col min="43" max="43" width="5.54296875" style="4" bestFit="1" customWidth="1"/>
    <col min="44" max="44" width="8.54296875" style="4" bestFit="1" customWidth="1"/>
    <col min="45" max="45" width="29.7265625" style="4" bestFit="1" customWidth="1"/>
    <col min="46" max="46" width="14.54296875" style="4" bestFit="1" customWidth="1"/>
    <col min="47" max="16384" width="8.7265625" style="4"/>
  </cols>
  <sheetData>
    <row r="1" spans="1:37" s="71" customFormat="1" ht="31" x14ac:dyDescent="0.7">
      <c r="A1" s="71" t="s">
        <v>236</v>
      </c>
    </row>
    <row r="2" spans="1:37" ht="15" thickBot="1" x14ac:dyDescent="0.4">
      <c r="I2" s="120"/>
    </row>
    <row r="3" spans="1:37" ht="15" thickBot="1" x14ac:dyDescent="0.4">
      <c r="A3" s="150" t="s">
        <v>236</v>
      </c>
      <c r="B3" s="151">
        <v>2023</v>
      </c>
      <c r="C3" s="151">
        <v>2050</v>
      </c>
      <c r="D3" s="152" t="s">
        <v>5</v>
      </c>
      <c r="E3" s="150" t="s">
        <v>8</v>
      </c>
      <c r="F3" s="151" t="s">
        <v>9</v>
      </c>
      <c r="G3" s="152" t="s">
        <v>10</v>
      </c>
      <c r="J3" s="4">
        <v>2023</v>
      </c>
      <c r="K3" s="4">
        <v>2024</v>
      </c>
      <c r="L3" s="4">
        <v>2025</v>
      </c>
      <c r="M3" s="4">
        <v>2026</v>
      </c>
      <c r="N3" s="4">
        <v>2027</v>
      </c>
      <c r="O3" s="4">
        <v>2028</v>
      </c>
      <c r="P3" s="4">
        <v>2029</v>
      </c>
      <c r="Q3" s="4">
        <v>2030</v>
      </c>
      <c r="R3" s="4">
        <v>2031</v>
      </c>
      <c r="S3" s="4">
        <v>2032</v>
      </c>
      <c r="T3" s="4">
        <v>2033</v>
      </c>
      <c r="U3" s="4">
        <v>2034</v>
      </c>
      <c r="V3" s="4">
        <v>2035</v>
      </c>
      <c r="W3" s="4">
        <v>2036</v>
      </c>
      <c r="X3" s="4">
        <v>2037</v>
      </c>
      <c r="Y3" s="4">
        <v>2038</v>
      </c>
      <c r="Z3" s="4">
        <v>2039</v>
      </c>
      <c r="AA3" s="4">
        <v>2040</v>
      </c>
      <c r="AB3" s="4">
        <v>2041</v>
      </c>
      <c r="AC3" s="4">
        <v>2042</v>
      </c>
      <c r="AD3" s="4">
        <v>2043</v>
      </c>
      <c r="AE3" s="4">
        <v>2044</v>
      </c>
      <c r="AF3" s="4">
        <v>2045</v>
      </c>
      <c r="AG3" s="4">
        <v>2046</v>
      </c>
      <c r="AH3" s="4">
        <v>2047</v>
      </c>
      <c r="AI3" s="4">
        <v>2048</v>
      </c>
      <c r="AJ3" s="4">
        <v>2049</v>
      </c>
      <c r="AK3" s="4">
        <v>2050</v>
      </c>
    </row>
    <row r="4" spans="1:37" x14ac:dyDescent="0.35">
      <c r="A4" s="153" t="s">
        <v>237</v>
      </c>
      <c r="B4" s="154">
        <v>0</v>
      </c>
      <c r="C4" s="154">
        <v>0</v>
      </c>
      <c r="D4" s="155" t="s">
        <v>13</v>
      </c>
      <c r="E4" s="156">
        <v>17</v>
      </c>
      <c r="F4" s="154">
        <v>0.9</v>
      </c>
      <c r="G4" s="155">
        <v>0.4</v>
      </c>
      <c r="I4" s="4" t="s">
        <v>405</v>
      </c>
      <c r="J4" s="133">
        <v>8.0999995899999996E-2</v>
      </c>
      <c r="K4" s="133">
        <v>8.0999995899999996E-2</v>
      </c>
      <c r="L4" s="133">
        <v>8.0999995899999996E-2</v>
      </c>
      <c r="M4" s="133">
        <v>8.0999995899999996E-2</v>
      </c>
      <c r="N4" s="133">
        <v>8.0999995899999996E-2</v>
      </c>
      <c r="O4" s="133">
        <v>8.0999995899999996E-2</v>
      </c>
      <c r="P4" s="133">
        <v>8.0999995899999996E-2</v>
      </c>
      <c r="Q4" s="133">
        <v>8.0999995899999996E-2</v>
      </c>
      <c r="R4" s="133">
        <v>8.3066662360000001E-2</v>
      </c>
      <c r="S4" s="133">
        <v>8.5133328820000007E-2</v>
      </c>
      <c r="T4" s="133">
        <v>8.7199995280000012E-2</v>
      </c>
      <c r="U4" s="133">
        <v>8.9266661740000017E-2</v>
      </c>
      <c r="V4" s="133">
        <v>9.1333328199999994E-2</v>
      </c>
      <c r="W4" s="133">
        <v>9.046666162E-2</v>
      </c>
      <c r="X4" s="133">
        <v>8.9599995039999991E-2</v>
      </c>
      <c r="Y4" s="133">
        <v>8.8733328459999983E-2</v>
      </c>
      <c r="Z4" s="133">
        <v>8.7866661879999974E-2</v>
      </c>
      <c r="AA4" s="133">
        <v>8.6999995299999994E-2</v>
      </c>
      <c r="AB4" s="133">
        <v>8.6133328719999985E-2</v>
      </c>
      <c r="AC4" s="133">
        <v>8.5266662139999991E-2</v>
      </c>
      <c r="AD4" s="133">
        <v>8.4399995559999982E-2</v>
      </c>
      <c r="AE4" s="133">
        <v>8.3533328979999974E-2</v>
      </c>
      <c r="AF4" s="133">
        <v>8.2666662399999993E-2</v>
      </c>
      <c r="AG4" s="133">
        <v>8.1799995819999985E-2</v>
      </c>
      <c r="AH4" s="133">
        <v>8.093332923999999E-2</v>
      </c>
      <c r="AI4" s="133">
        <v>8.0066662659999982E-2</v>
      </c>
      <c r="AJ4" s="133">
        <v>7.9199996079999987E-2</v>
      </c>
      <c r="AK4" s="133">
        <v>7.8333329499999993E-2</v>
      </c>
    </row>
    <row r="5" spans="1:37" x14ac:dyDescent="0.35">
      <c r="A5" s="157" t="s">
        <v>402</v>
      </c>
      <c r="B5" s="158">
        <v>0.1</v>
      </c>
      <c r="C5" s="158">
        <v>0.1</v>
      </c>
      <c r="D5" s="158" t="s">
        <v>68</v>
      </c>
      <c r="E5" s="158">
        <v>12</v>
      </c>
      <c r="F5" s="158">
        <v>0.9</v>
      </c>
      <c r="G5" s="159">
        <v>0.4</v>
      </c>
      <c r="I5" s="4" t="s">
        <v>102</v>
      </c>
      <c r="J5" s="133">
        <v>0.17650758633144634</v>
      </c>
      <c r="K5" s="133">
        <v>0.17141203646151962</v>
      </c>
      <c r="L5" s="133">
        <v>0.16631648659159295</v>
      </c>
      <c r="M5" s="133">
        <v>0.16281432766630949</v>
      </c>
      <c r="N5" s="133">
        <v>0.15931216874102602</v>
      </c>
      <c r="O5" s="133">
        <v>0.15581000981574256</v>
      </c>
      <c r="P5" s="133">
        <v>0.15230785089045909</v>
      </c>
      <c r="Q5" s="133">
        <v>0.1488056919651756</v>
      </c>
      <c r="R5" s="133">
        <v>0.14909793604375518</v>
      </c>
      <c r="S5" s="133">
        <v>0.14939018012233476</v>
      </c>
      <c r="T5" s="133">
        <v>0.14968242420091435</v>
      </c>
      <c r="U5" s="133">
        <v>0.14997466827949391</v>
      </c>
      <c r="V5" s="133">
        <v>0.15026691235807355</v>
      </c>
      <c r="W5" s="133">
        <v>0.14685063279900346</v>
      </c>
      <c r="X5" s="133">
        <v>0.14343435323993334</v>
      </c>
      <c r="Y5" s="133">
        <v>0.14001807368086325</v>
      </c>
      <c r="Z5" s="133">
        <v>0.13660179412179316</v>
      </c>
      <c r="AA5" s="133">
        <v>0.1331855145627231</v>
      </c>
      <c r="AB5" s="133">
        <v>0.13003016708307891</v>
      </c>
      <c r="AC5" s="133">
        <v>0.12687481960343472</v>
      </c>
      <c r="AD5" s="133">
        <v>0.12371947212379053</v>
      </c>
      <c r="AE5" s="133">
        <v>0.12056412464414634</v>
      </c>
      <c r="AF5" s="133">
        <v>0.11740877716450215</v>
      </c>
      <c r="AG5" s="133">
        <v>0.11483288597039364</v>
      </c>
      <c r="AH5" s="133">
        <v>0.11225699477628512</v>
      </c>
      <c r="AI5" s="133">
        <v>0.10968110358217659</v>
      </c>
      <c r="AJ5" s="133">
        <v>0.10710521238806807</v>
      </c>
      <c r="AK5" s="133">
        <v>0.10452932119395957</v>
      </c>
    </row>
    <row r="6" spans="1:37" x14ac:dyDescent="0.35">
      <c r="A6" s="160" t="s">
        <v>403</v>
      </c>
      <c r="B6" s="161">
        <v>0.06</v>
      </c>
      <c r="C6" s="161">
        <v>0.06</v>
      </c>
      <c r="D6" s="161" t="s">
        <v>68</v>
      </c>
      <c r="E6" s="161">
        <v>17</v>
      </c>
      <c r="F6" s="161">
        <v>0.9</v>
      </c>
      <c r="G6" s="162">
        <v>0.4</v>
      </c>
      <c r="I6" s="4" t="s">
        <v>185</v>
      </c>
      <c r="J6" s="133">
        <v>0.15796068463848831</v>
      </c>
      <c r="K6" s="133">
        <v>0.15426708731267802</v>
      </c>
      <c r="L6" s="133">
        <v>0.1505734899868677</v>
      </c>
      <c r="M6" s="133">
        <v>0.14821852539008218</v>
      </c>
      <c r="N6" s="133">
        <v>0.14586356079329663</v>
      </c>
      <c r="O6" s="133">
        <v>0.1435085961965111</v>
      </c>
      <c r="P6" s="133">
        <v>0.14115363159972555</v>
      </c>
      <c r="Q6" s="133">
        <v>0.13879866700293997</v>
      </c>
      <c r="R6" s="133">
        <v>0.1405953284523826</v>
      </c>
      <c r="S6" s="133">
        <v>0.14239198990182525</v>
      </c>
      <c r="T6" s="133">
        <v>0.14418865135126788</v>
      </c>
      <c r="U6" s="133">
        <v>0.14598531280071053</v>
      </c>
      <c r="V6" s="133">
        <v>0.14778197425015313</v>
      </c>
      <c r="W6" s="133">
        <v>0.14497239428752798</v>
      </c>
      <c r="X6" s="133">
        <v>0.14216281432490285</v>
      </c>
      <c r="Y6" s="133">
        <v>0.1393532343622777</v>
      </c>
      <c r="Z6" s="133">
        <v>0.13654365439965255</v>
      </c>
      <c r="AA6" s="133">
        <v>0.13373407443702739</v>
      </c>
      <c r="AB6" s="133">
        <v>0.13116562897048312</v>
      </c>
      <c r="AC6" s="133">
        <v>0.12859718350393887</v>
      </c>
      <c r="AD6" s="133">
        <v>0.12602873803739459</v>
      </c>
      <c r="AE6" s="133">
        <v>0.1234602925708503</v>
      </c>
      <c r="AF6" s="133">
        <v>0.12089184710430603</v>
      </c>
      <c r="AG6" s="133">
        <v>0.11844996886324041</v>
      </c>
      <c r="AH6" s="133">
        <v>0.11600809062217481</v>
      </c>
      <c r="AI6" s="133">
        <v>0.1135662123811092</v>
      </c>
      <c r="AJ6" s="133">
        <v>0.11112433414004359</v>
      </c>
      <c r="AK6" s="133">
        <v>0.10868245589897794</v>
      </c>
    </row>
    <row r="7" spans="1:37" x14ac:dyDescent="0.35">
      <c r="A7" s="160" t="s">
        <v>404</v>
      </c>
      <c r="B7" s="161">
        <v>3.1399999999999997E-2</v>
      </c>
      <c r="C7" s="161">
        <v>3.1399999999999997E-2</v>
      </c>
      <c r="D7" s="161" t="s">
        <v>68</v>
      </c>
      <c r="E7" s="161">
        <v>17</v>
      </c>
      <c r="F7" s="161">
        <v>0.9</v>
      </c>
      <c r="G7" s="162">
        <v>0.4</v>
      </c>
      <c r="I7" s="4" t="s">
        <v>186</v>
      </c>
      <c r="J7" s="133">
        <v>0.33860978809845654</v>
      </c>
      <c r="K7" s="133">
        <v>0.32399893120368356</v>
      </c>
      <c r="L7" s="133">
        <v>0.30938807430891058</v>
      </c>
      <c r="M7" s="133">
        <v>0.29628478287221349</v>
      </c>
      <c r="N7" s="133">
        <v>0.28318149143551641</v>
      </c>
      <c r="O7" s="133">
        <v>0.27007819999881932</v>
      </c>
      <c r="P7" s="133">
        <v>0.25697490856212224</v>
      </c>
      <c r="Q7" s="133">
        <v>0.24387161712542507</v>
      </c>
      <c r="R7" s="133">
        <v>0.23813955720586791</v>
      </c>
      <c r="S7" s="133">
        <v>0.23240749728631072</v>
      </c>
      <c r="T7" s="133">
        <v>0.22667543736675355</v>
      </c>
      <c r="U7" s="133">
        <v>0.22094337744719639</v>
      </c>
      <c r="V7" s="133">
        <v>0.21521131752763925</v>
      </c>
      <c r="W7" s="133">
        <v>0.20784400914982837</v>
      </c>
      <c r="X7" s="133">
        <v>0.20047670077201749</v>
      </c>
      <c r="Y7" s="133">
        <v>0.19310939239420657</v>
      </c>
      <c r="Z7" s="133">
        <v>0.18574208401639569</v>
      </c>
      <c r="AA7" s="133">
        <v>0.17837477563858489</v>
      </c>
      <c r="AB7" s="133">
        <v>0.17337343843558548</v>
      </c>
      <c r="AC7" s="133">
        <v>0.16837210123258603</v>
      </c>
      <c r="AD7" s="133">
        <v>0.16337076402958661</v>
      </c>
      <c r="AE7" s="133">
        <v>0.15836942682658722</v>
      </c>
      <c r="AF7" s="133">
        <v>0.15336808962358783</v>
      </c>
      <c r="AG7" s="133">
        <v>0.14990370608596207</v>
      </c>
      <c r="AH7" s="133">
        <v>0.1464393225483363</v>
      </c>
      <c r="AI7" s="133">
        <v>0.14297493901071057</v>
      </c>
      <c r="AJ7" s="133">
        <v>0.1395105554730848</v>
      </c>
      <c r="AK7" s="133">
        <v>0.13604617193545901</v>
      </c>
    </row>
    <row r="8" spans="1:37" x14ac:dyDescent="0.35">
      <c r="A8" s="160" t="s">
        <v>405</v>
      </c>
      <c r="B8" s="161">
        <v>0.13371034051801745</v>
      </c>
      <c r="C8" s="161">
        <v>8.7585019329602734E-2</v>
      </c>
      <c r="D8" s="161" t="s">
        <v>68</v>
      </c>
      <c r="E8" s="161">
        <v>12</v>
      </c>
      <c r="F8" s="161">
        <v>0.9</v>
      </c>
      <c r="G8" s="162">
        <v>0.4</v>
      </c>
      <c r="I8" s="4" t="s">
        <v>11</v>
      </c>
      <c r="J8" s="133">
        <v>6.4802641056422569E-2</v>
      </c>
      <c r="K8" s="133">
        <v>6.3089795918367345E-2</v>
      </c>
      <c r="L8" s="133">
        <v>6.1376950780312127E-2</v>
      </c>
      <c r="M8" s="133">
        <v>5.9664105642256909E-2</v>
      </c>
      <c r="N8" s="133">
        <v>5.7951260504201692E-2</v>
      </c>
      <c r="O8" s="133">
        <v>5.6238415366146474E-2</v>
      </c>
      <c r="P8" s="133">
        <v>5.4525570228091257E-2</v>
      </c>
      <c r="Q8" s="133">
        <v>5.2812725090036025E-2</v>
      </c>
      <c r="R8" s="133">
        <v>5.2313145258103252E-2</v>
      </c>
      <c r="S8" s="133">
        <v>5.181356542617048E-2</v>
      </c>
      <c r="T8" s="133">
        <v>5.1313985594237707E-2</v>
      </c>
      <c r="U8" s="133">
        <v>5.0814405762304934E-2</v>
      </c>
      <c r="V8" s="133">
        <v>5.0314825930372155E-2</v>
      </c>
      <c r="W8" s="133">
        <v>4.9815246098439382E-2</v>
      </c>
      <c r="X8" s="133">
        <v>4.931566626650661E-2</v>
      </c>
      <c r="Y8" s="133">
        <v>4.8816086434573837E-2</v>
      </c>
      <c r="Z8" s="133">
        <v>4.8316506602641064E-2</v>
      </c>
      <c r="AA8" s="133">
        <v>4.7816926770708292E-2</v>
      </c>
      <c r="AB8" s="133">
        <v>4.7317346938775519E-2</v>
      </c>
      <c r="AC8" s="133">
        <v>4.6817767106842746E-2</v>
      </c>
      <c r="AD8" s="133">
        <v>4.6318187274909974E-2</v>
      </c>
      <c r="AE8" s="133">
        <v>4.5818607442977201E-2</v>
      </c>
      <c r="AF8" s="133">
        <v>4.5319027611044428E-2</v>
      </c>
      <c r="AG8" s="133">
        <v>4.4819447779111656E-2</v>
      </c>
      <c r="AH8" s="133">
        <v>4.4319867947178883E-2</v>
      </c>
      <c r="AI8" s="133">
        <v>4.382028811524611E-2</v>
      </c>
      <c r="AJ8" s="133">
        <v>4.3320708283313338E-2</v>
      </c>
      <c r="AK8" s="133">
        <v>4.2821128451380565E-2</v>
      </c>
    </row>
    <row r="9" spans="1:37" x14ac:dyDescent="0.35">
      <c r="A9" s="160" t="s">
        <v>102</v>
      </c>
      <c r="B9" s="161">
        <v>0.2544561408768215</v>
      </c>
      <c r="C9" s="161">
        <v>0.10949010032952979</v>
      </c>
      <c r="D9" s="161" t="s">
        <v>68</v>
      </c>
      <c r="E9" s="161">
        <v>12</v>
      </c>
      <c r="F9" s="161">
        <v>0.9</v>
      </c>
      <c r="G9" s="162">
        <v>0.4</v>
      </c>
      <c r="I9" s="4" t="s">
        <v>275</v>
      </c>
      <c r="J9" s="133">
        <v>6.4802641056422569E-2</v>
      </c>
      <c r="K9" s="133">
        <v>6.3089795918367345E-2</v>
      </c>
      <c r="L9" s="133">
        <v>6.1376950780312127E-2</v>
      </c>
      <c r="M9" s="133">
        <v>5.9664105642256909E-2</v>
      </c>
      <c r="N9" s="133">
        <v>5.7951260504201692E-2</v>
      </c>
      <c r="O9" s="133">
        <v>5.6238415366146474E-2</v>
      </c>
      <c r="P9" s="133">
        <v>5.4525570228091257E-2</v>
      </c>
      <c r="Q9" s="133">
        <v>5.2812725090036025E-2</v>
      </c>
      <c r="R9" s="133">
        <v>5.2313145258103252E-2</v>
      </c>
      <c r="S9" s="133">
        <v>5.181356542617048E-2</v>
      </c>
      <c r="T9" s="133">
        <v>5.1313985594237707E-2</v>
      </c>
      <c r="U9" s="133">
        <v>5.0814405762304934E-2</v>
      </c>
      <c r="V9" s="133">
        <v>5.0314825930372155E-2</v>
      </c>
      <c r="W9" s="133">
        <v>4.9815246098439382E-2</v>
      </c>
      <c r="X9" s="133">
        <v>4.931566626650661E-2</v>
      </c>
      <c r="Y9" s="133">
        <v>4.8816086434573837E-2</v>
      </c>
      <c r="Z9" s="133">
        <v>4.8316506602641064E-2</v>
      </c>
      <c r="AA9" s="133">
        <v>4.7816926770708292E-2</v>
      </c>
      <c r="AB9" s="133">
        <v>4.7317346938775519E-2</v>
      </c>
      <c r="AC9" s="133">
        <v>4.6817767106842746E-2</v>
      </c>
      <c r="AD9" s="133">
        <v>4.6318187274909974E-2</v>
      </c>
      <c r="AE9" s="133">
        <v>4.5818607442977201E-2</v>
      </c>
      <c r="AF9" s="133">
        <v>4.5319027611044428E-2</v>
      </c>
      <c r="AG9" s="133">
        <v>4.4819447779111656E-2</v>
      </c>
      <c r="AH9" s="133">
        <v>4.4319867947178883E-2</v>
      </c>
      <c r="AI9" s="133">
        <v>4.382028811524611E-2</v>
      </c>
      <c r="AJ9" s="133">
        <v>4.3320708283313338E-2</v>
      </c>
      <c r="AK9" s="133">
        <v>4.2821128451380565E-2</v>
      </c>
    </row>
    <row r="10" spans="1:37" x14ac:dyDescent="0.35">
      <c r="A10" s="160" t="s">
        <v>185</v>
      </c>
      <c r="B10" s="161">
        <v>0.23976160758395154</v>
      </c>
      <c r="C10" s="161">
        <v>0.11428118371505049</v>
      </c>
      <c r="D10" s="161" t="s">
        <v>68</v>
      </c>
      <c r="E10" s="161">
        <v>14</v>
      </c>
      <c r="F10" s="161">
        <v>0.9</v>
      </c>
      <c r="G10" s="162">
        <v>0.4</v>
      </c>
      <c r="I10" s="4" t="s">
        <v>276</v>
      </c>
      <c r="J10" s="133">
        <v>2.9049168379255901E-2</v>
      </c>
      <c r="K10" s="133">
        <v>2.8281348950729313E-2</v>
      </c>
      <c r="L10" s="133">
        <v>2.7513529522202727E-2</v>
      </c>
      <c r="M10" s="133">
        <v>2.6745710093676139E-2</v>
      </c>
      <c r="N10" s="133">
        <v>2.597789066514955E-2</v>
      </c>
      <c r="O10" s="133">
        <v>2.5210071236622961E-2</v>
      </c>
      <c r="P10" s="133">
        <v>2.4442251808096373E-2</v>
      </c>
      <c r="Q10" s="133">
        <v>2.3674432379569791E-2</v>
      </c>
      <c r="R10" s="133">
        <v>2.3450485046249536E-2</v>
      </c>
      <c r="S10" s="133">
        <v>2.322653771292928E-2</v>
      </c>
      <c r="T10" s="133">
        <v>2.3002590379609025E-2</v>
      </c>
      <c r="U10" s="133">
        <v>2.2778643046288769E-2</v>
      </c>
      <c r="V10" s="133">
        <v>2.2554695712968514E-2</v>
      </c>
      <c r="W10" s="133">
        <v>2.2330748379648258E-2</v>
      </c>
      <c r="X10" s="133">
        <v>2.2106801046328003E-2</v>
      </c>
      <c r="Y10" s="133">
        <v>2.1882853713007747E-2</v>
      </c>
      <c r="Z10" s="133">
        <v>2.1658906379687492E-2</v>
      </c>
      <c r="AA10" s="133">
        <v>2.1434959046367243E-2</v>
      </c>
      <c r="AB10" s="133">
        <v>2.1211011713046988E-2</v>
      </c>
      <c r="AC10" s="133">
        <v>2.0987064379726732E-2</v>
      </c>
      <c r="AD10" s="133">
        <v>2.0763117046406477E-2</v>
      </c>
      <c r="AE10" s="133">
        <v>2.0539169713086221E-2</v>
      </c>
      <c r="AF10" s="133">
        <v>2.0315222379765973E-2</v>
      </c>
      <c r="AG10" s="133">
        <v>2.0091275046445718E-2</v>
      </c>
      <c r="AH10" s="133">
        <v>1.9867327713125462E-2</v>
      </c>
      <c r="AI10" s="133">
        <v>1.9643380379805207E-2</v>
      </c>
      <c r="AJ10" s="133">
        <v>1.9419433046484951E-2</v>
      </c>
      <c r="AK10" s="133">
        <v>1.9195485713164699E-2</v>
      </c>
    </row>
    <row r="11" spans="1:37" x14ac:dyDescent="0.35">
      <c r="A11" s="163" t="s">
        <v>186</v>
      </c>
      <c r="B11" s="164">
        <v>0.46076973995226939</v>
      </c>
      <c r="C11" s="164">
        <v>0.14224714585492179</v>
      </c>
      <c r="D11" s="164" t="s">
        <v>68</v>
      </c>
      <c r="E11" s="164">
        <v>17</v>
      </c>
      <c r="F11" s="164">
        <v>0.9</v>
      </c>
      <c r="G11" s="165">
        <v>0.4</v>
      </c>
      <c r="J11" s="97"/>
    </row>
    <row r="12" spans="1:37" x14ac:dyDescent="0.35">
      <c r="A12" s="4" t="s">
        <v>482</v>
      </c>
    </row>
    <row r="13" spans="1:37" x14ac:dyDescent="0.35">
      <c r="I13" s="120" t="s">
        <v>483</v>
      </c>
    </row>
    <row r="14" spans="1:37" ht="15" thickBot="1" x14ac:dyDescent="0.4"/>
    <row r="15" spans="1:37" x14ac:dyDescent="0.35">
      <c r="C15" s="70"/>
      <c r="D15" s="70"/>
      <c r="E15" s="70" t="s">
        <v>533</v>
      </c>
      <c r="G15" s="4" t="s">
        <v>534</v>
      </c>
      <c r="I15" s="143" t="s">
        <v>479</v>
      </c>
      <c r="J15" s="144" t="s">
        <v>68</v>
      </c>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144"/>
      <c r="AH15" s="144"/>
      <c r="AI15" s="144"/>
      <c r="AJ15" s="144"/>
      <c r="AK15" s="145"/>
    </row>
    <row r="16" spans="1:37" x14ac:dyDescent="0.35">
      <c r="B16" s="166" t="s">
        <v>535</v>
      </c>
      <c r="C16" s="70" t="s">
        <v>219</v>
      </c>
      <c r="D16" s="70" t="s">
        <v>11</v>
      </c>
      <c r="E16" s="70">
        <v>2.6499999999999999E-2</v>
      </c>
      <c r="F16" s="167" t="s">
        <v>536</v>
      </c>
      <c r="G16" s="4" t="s">
        <v>534</v>
      </c>
      <c r="I16" s="78"/>
      <c r="J16" s="4">
        <v>2023</v>
      </c>
      <c r="K16" s="4">
        <v>2024</v>
      </c>
      <c r="L16" s="4">
        <v>2025</v>
      </c>
      <c r="M16" s="4">
        <v>2026</v>
      </c>
      <c r="N16" s="4">
        <v>2027</v>
      </c>
      <c r="O16" s="4">
        <v>2028</v>
      </c>
      <c r="P16" s="4">
        <v>2029</v>
      </c>
      <c r="Q16" s="4">
        <v>2030</v>
      </c>
      <c r="R16" s="4">
        <v>2031</v>
      </c>
      <c r="S16" s="4">
        <v>2032</v>
      </c>
      <c r="T16" s="4">
        <v>2033</v>
      </c>
      <c r="U16" s="4">
        <v>2034</v>
      </c>
      <c r="V16" s="4">
        <v>2035</v>
      </c>
      <c r="W16" s="4">
        <v>2036</v>
      </c>
      <c r="X16" s="4">
        <v>2037</v>
      </c>
      <c r="Y16" s="4">
        <v>2038</v>
      </c>
      <c r="Z16" s="4">
        <v>2039</v>
      </c>
      <c r="AA16" s="4">
        <v>2040</v>
      </c>
      <c r="AB16" s="4">
        <v>2041</v>
      </c>
      <c r="AC16" s="4">
        <v>2042</v>
      </c>
      <c r="AD16" s="4">
        <v>2043</v>
      </c>
      <c r="AE16" s="4">
        <v>2044</v>
      </c>
      <c r="AF16" s="4">
        <v>2045</v>
      </c>
      <c r="AG16" s="4">
        <v>2046</v>
      </c>
      <c r="AH16" s="4">
        <v>2047</v>
      </c>
      <c r="AI16" s="4">
        <v>2048</v>
      </c>
      <c r="AJ16" s="4">
        <v>2049</v>
      </c>
      <c r="AK16" s="79">
        <v>2050</v>
      </c>
    </row>
    <row r="17" spans="2:37" x14ac:dyDescent="0.35">
      <c r="B17" s="166" t="s">
        <v>535</v>
      </c>
      <c r="C17" s="70" t="s">
        <v>167</v>
      </c>
      <c r="D17" s="70" t="s">
        <v>275</v>
      </c>
      <c r="E17" s="70">
        <v>2.3900000000000001E-2</v>
      </c>
      <c r="F17" s="167" t="s">
        <v>537</v>
      </c>
      <c r="G17" s="4" t="s">
        <v>534</v>
      </c>
      <c r="I17" s="78" t="s">
        <v>405</v>
      </c>
      <c r="J17" s="4">
        <v>7.5233329809999999E-2</v>
      </c>
      <c r="K17" s="4">
        <v>7.5233329809999999E-2</v>
      </c>
      <c r="L17" s="4">
        <v>7.5233329809999999E-2</v>
      </c>
      <c r="M17" s="4">
        <v>7.5233329809999999E-2</v>
      </c>
      <c r="N17" s="4">
        <v>7.5233329809999999E-2</v>
      </c>
      <c r="O17" s="4">
        <v>7.5233329809999999E-2</v>
      </c>
      <c r="P17" s="4">
        <v>7.5233329809999999E-2</v>
      </c>
      <c r="Q17" s="4">
        <v>7.5233329809999999E-2</v>
      </c>
      <c r="R17" s="4">
        <v>7.6599996340000004E-2</v>
      </c>
      <c r="S17" s="4">
        <v>7.7966662870000009E-2</v>
      </c>
      <c r="T17" s="4">
        <v>7.9333329400000013E-2</v>
      </c>
      <c r="U17" s="4">
        <v>8.0699995930000018E-2</v>
      </c>
      <c r="V17" s="4">
        <v>8.2066662460000009E-2</v>
      </c>
      <c r="W17" s="4">
        <v>8.1106662556000006E-2</v>
      </c>
      <c r="X17" s="4">
        <v>8.0146662651999989E-2</v>
      </c>
      <c r="Y17" s="4">
        <v>7.9186662747999986E-2</v>
      </c>
      <c r="Z17" s="4">
        <v>7.8226662843999983E-2</v>
      </c>
      <c r="AA17" s="4">
        <v>7.7266662939999994E-2</v>
      </c>
      <c r="AB17" s="4">
        <v>7.6306663035999991E-2</v>
      </c>
      <c r="AC17" s="4">
        <v>7.5346663131999989E-2</v>
      </c>
      <c r="AD17" s="4">
        <v>7.4386663227999986E-2</v>
      </c>
      <c r="AE17" s="4">
        <v>7.3426663323999983E-2</v>
      </c>
      <c r="AF17" s="4">
        <v>7.2466663419999994E-2</v>
      </c>
      <c r="AG17" s="4">
        <v>7.1506663515999991E-2</v>
      </c>
      <c r="AH17" s="4">
        <v>7.0546663611999988E-2</v>
      </c>
      <c r="AI17" s="4">
        <v>6.9586663707999985E-2</v>
      </c>
      <c r="AJ17" s="4">
        <v>6.8626663803999982E-2</v>
      </c>
      <c r="AK17" s="79">
        <v>6.7666663899999993E-2</v>
      </c>
    </row>
    <row r="18" spans="2:37" x14ac:dyDescent="0.35">
      <c r="B18" s="166" t="s">
        <v>535</v>
      </c>
      <c r="C18" s="70" t="s">
        <v>167</v>
      </c>
      <c r="D18" s="70" t="s">
        <v>276</v>
      </c>
      <c r="E18" s="70">
        <v>2.3900000000000001E-2</v>
      </c>
      <c r="I18" s="78" t="s">
        <v>102</v>
      </c>
      <c r="J18" s="4">
        <v>0.16755030740877733</v>
      </c>
      <c r="K18" s="4">
        <v>0.16246311320948742</v>
      </c>
      <c r="L18" s="4">
        <v>0.1573759190101976</v>
      </c>
      <c r="M18" s="4">
        <v>0.15390105952791075</v>
      </c>
      <c r="N18" s="4">
        <v>0.1504262000456239</v>
      </c>
      <c r="O18" s="4">
        <v>0.14695134056333706</v>
      </c>
      <c r="P18" s="4">
        <v>0.14347648108105024</v>
      </c>
      <c r="Q18" s="4">
        <v>0.14000162159876336</v>
      </c>
      <c r="R18" s="4">
        <v>0.13928851087301347</v>
      </c>
      <c r="S18" s="4">
        <v>0.13857540014726355</v>
      </c>
      <c r="T18" s="4">
        <v>0.13786228942151366</v>
      </c>
      <c r="U18" s="4">
        <v>0.13714917869576373</v>
      </c>
      <c r="V18" s="4">
        <v>0.13643606797001384</v>
      </c>
      <c r="W18" s="4">
        <v>0.13294825106115046</v>
      </c>
      <c r="X18" s="4">
        <v>0.12946043415228706</v>
      </c>
      <c r="Y18" s="4">
        <v>0.12597261724342368</v>
      </c>
      <c r="Z18" s="4">
        <v>0.12248480033456027</v>
      </c>
      <c r="AA18" s="4">
        <v>0.11899698342569687</v>
      </c>
      <c r="AB18" s="4">
        <v>0.11578161519050338</v>
      </c>
      <c r="AC18" s="4">
        <v>0.1125662469553099</v>
      </c>
      <c r="AD18" s="4">
        <v>0.10935087872011641</v>
      </c>
      <c r="AE18" s="4">
        <v>0.10613551048492292</v>
      </c>
      <c r="AF18" s="4">
        <v>0.10292014224972944</v>
      </c>
      <c r="AG18" s="4">
        <v>0.10028722302472504</v>
      </c>
      <c r="AH18" s="4">
        <v>9.7654303799720649E-2</v>
      </c>
      <c r="AI18" s="4">
        <v>9.5021384574716261E-2</v>
      </c>
      <c r="AJ18" s="4">
        <v>9.238846534971186E-2</v>
      </c>
      <c r="AK18" s="79">
        <v>8.9755546124707486E-2</v>
      </c>
    </row>
    <row r="19" spans="2:37" x14ac:dyDescent="0.35">
      <c r="I19" s="78" t="s">
        <v>185</v>
      </c>
      <c r="J19" s="4">
        <v>0.14785151321799878</v>
      </c>
      <c r="K19" s="4">
        <v>0.14416734608940909</v>
      </c>
      <c r="L19" s="4">
        <v>0.14048317896081941</v>
      </c>
      <c r="M19" s="4">
        <v>0.13815902447403705</v>
      </c>
      <c r="N19" s="4">
        <v>0.13583486998725472</v>
      </c>
      <c r="O19" s="4">
        <v>0.13351071550047239</v>
      </c>
      <c r="P19" s="4">
        <v>0.13118656101369006</v>
      </c>
      <c r="Q19" s="4">
        <v>0.1288624065269077</v>
      </c>
      <c r="R19" s="4">
        <v>0.12952442606744893</v>
      </c>
      <c r="S19" s="4">
        <v>0.13018644560799014</v>
      </c>
      <c r="T19" s="4">
        <v>0.13084846514853138</v>
      </c>
      <c r="U19" s="4">
        <v>0.13151048468907259</v>
      </c>
      <c r="V19" s="4">
        <v>0.13217250422961382</v>
      </c>
      <c r="W19" s="4">
        <v>0.12928218732240185</v>
      </c>
      <c r="X19" s="4">
        <v>0.1263918704151899</v>
      </c>
      <c r="Y19" s="4">
        <v>0.12350155350797795</v>
      </c>
      <c r="Z19" s="4">
        <v>0.120611236600766</v>
      </c>
      <c r="AA19" s="4">
        <v>0.11772091969355404</v>
      </c>
      <c r="AB19" s="4">
        <v>0.11508473489323738</v>
      </c>
      <c r="AC19" s="4">
        <v>0.11244855009292071</v>
      </c>
      <c r="AD19" s="4">
        <v>0.10981236529260403</v>
      </c>
      <c r="AE19" s="4">
        <v>0.10717618049228736</v>
      </c>
      <c r="AF19" s="4">
        <v>0.1045399956919707</v>
      </c>
      <c r="AG19" s="4">
        <v>0.10203375570164211</v>
      </c>
      <c r="AH19" s="4">
        <v>9.9527515711313519E-2</v>
      </c>
      <c r="AI19" s="4">
        <v>9.7021275720984915E-2</v>
      </c>
      <c r="AJ19" s="4">
        <v>9.4515035730656324E-2</v>
      </c>
      <c r="AK19" s="79">
        <v>9.2008795740327734E-2</v>
      </c>
    </row>
    <row r="20" spans="2:37" x14ac:dyDescent="0.35">
      <c r="I20" s="78" t="s">
        <v>186</v>
      </c>
      <c r="J20" s="4">
        <v>0.32741318944512032</v>
      </c>
      <c r="K20" s="4">
        <v>0.31281277713864336</v>
      </c>
      <c r="L20" s="4">
        <v>0.29821236483216634</v>
      </c>
      <c r="M20" s="4">
        <v>0.28514319769921503</v>
      </c>
      <c r="N20" s="4">
        <v>0.27207403056626372</v>
      </c>
      <c r="O20" s="4">
        <v>0.25900486343331242</v>
      </c>
      <c r="P20" s="4">
        <v>0.24593569630036111</v>
      </c>
      <c r="Q20" s="4">
        <v>0.23286652916740982</v>
      </c>
      <c r="R20" s="4">
        <v>0.22587777574244078</v>
      </c>
      <c r="S20" s="4">
        <v>0.21888902231747173</v>
      </c>
      <c r="T20" s="4">
        <v>0.21190026889250269</v>
      </c>
      <c r="U20" s="4">
        <v>0.20491151546753364</v>
      </c>
      <c r="V20" s="4">
        <v>0.19792276204256468</v>
      </c>
      <c r="W20" s="4">
        <v>0.19046603197751216</v>
      </c>
      <c r="X20" s="4">
        <v>0.18300930191245968</v>
      </c>
      <c r="Y20" s="4">
        <v>0.17555257184740719</v>
      </c>
      <c r="Z20" s="4">
        <v>0.16809584178235468</v>
      </c>
      <c r="AA20" s="4">
        <v>0.16063911171730211</v>
      </c>
      <c r="AB20" s="4">
        <v>0.15556274856986607</v>
      </c>
      <c r="AC20" s="4">
        <v>0.15048638542243004</v>
      </c>
      <c r="AD20" s="4">
        <v>0.145410022274994</v>
      </c>
      <c r="AE20" s="4">
        <v>0.14033365912755799</v>
      </c>
      <c r="AF20" s="4">
        <v>0.13525729598012193</v>
      </c>
      <c r="AG20" s="4">
        <v>0.13172162740387633</v>
      </c>
      <c r="AH20" s="4">
        <v>0.12818595882763073</v>
      </c>
      <c r="AI20" s="4">
        <v>0.12465029025138512</v>
      </c>
      <c r="AJ20" s="4">
        <v>0.12111462167513951</v>
      </c>
      <c r="AK20" s="79">
        <v>0.11757895309889392</v>
      </c>
    </row>
    <row r="21" spans="2:37" x14ac:dyDescent="0.35">
      <c r="I21" s="78" t="s">
        <v>11</v>
      </c>
      <c r="J21" s="4">
        <v>5.7951260504201685E-2</v>
      </c>
      <c r="K21" s="4">
        <v>5.3954621848739497E-2</v>
      </c>
      <c r="L21" s="4">
        <v>4.9957983193277315E-2</v>
      </c>
      <c r="M21" s="4">
        <v>4.5961344537815127E-2</v>
      </c>
      <c r="N21" s="4">
        <v>4.1964705882352946E-2</v>
      </c>
      <c r="O21" s="4">
        <v>3.7968067226890764E-2</v>
      </c>
      <c r="P21" s="4">
        <v>3.3971428571428583E-2</v>
      </c>
      <c r="Q21" s="4">
        <v>2.9974789915966391E-2</v>
      </c>
      <c r="R21" s="4">
        <v>2.9368157262905165E-2</v>
      </c>
      <c r="S21" s="4">
        <v>2.8761524609843939E-2</v>
      </c>
      <c r="T21" s="4">
        <v>2.8154891956782713E-2</v>
      </c>
      <c r="U21" s="4">
        <v>2.7548259303721487E-2</v>
      </c>
      <c r="V21" s="4">
        <v>2.6941626650660268E-2</v>
      </c>
      <c r="W21" s="4">
        <v>2.6334993997599043E-2</v>
      </c>
      <c r="X21" s="4">
        <v>2.5728361344537817E-2</v>
      </c>
      <c r="Y21" s="4">
        <v>2.5121728691476591E-2</v>
      </c>
      <c r="Z21" s="4">
        <v>2.4515096038415365E-2</v>
      </c>
      <c r="AA21" s="4">
        <v>2.3908463385354146E-2</v>
      </c>
      <c r="AB21" s="4">
        <v>2.330183073229292E-2</v>
      </c>
      <c r="AC21" s="4">
        <v>2.2695198079231694E-2</v>
      </c>
      <c r="AD21" s="4">
        <v>2.2088565426170468E-2</v>
      </c>
      <c r="AE21" s="4">
        <v>2.1481932773109242E-2</v>
      </c>
      <c r="AF21" s="4">
        <v>2.0875300120048023E-2</v>
      </c>
      <c r="AG21" s="4">
        <v>2.0268667466986797E-2</v>
      </c>
      <c r="AH21" s="4">
        <v>1.9662034813925571E-2</v>
      </c>
      <c r="AI21" s="4">
        <v>1.9055402160864345E-2</v>
      </c>
      <c r="AJ21" s="4">
        <v>1.8448769507803119E-2</v>
      </c>
      <c r="AK21" s="79">
        <v>1.78421368547419E-2</v>
      </c>
    </row>
    <row r="22" spans="2:37" x14ac:dyDescent="0.35">
      <c r="I22" s="78" t="s">
        <v>275</v>
      </c>
      <c r="J22" s="4">
        <v>5.7951260504201685E-2</v>
      </c>
      <c r="K22" s="4">
        <v>5.3954621848739497E-2</v>
      </c>
      <c r="L22" s="4">
        <v>4.9957983193277315E-2</v>
      </c>
      <c r="M22" s="4">
        <v>4.5961344537815127E-2</v>
      </c>
      <c r="N22" s="4">
        <v>4.1964705882352946E-2</v>
      </c>
      <c r="O22" s="4">
        <v>3.7968067226890764E-2</v>
      </c>
      <c r="P22" s="4">
        <v>3.3971428571428583E-2</v>
      </c>
      <c r="Q22" s="4">
        <v>2.9974789915966391E-2</v>
      </c>
      <c r="R22" s="4">
        <v>2.9368157262905165E-2</v>
      </c>
      <c r="S22" s="4">
        <v>2.8761524609843939E-2</v>
      </c>
      <c r="T22" s="4">
        <v>2.8154891956782713E-2</v>
      </c>
      <c r="U22" s="4">
        <v>2.7548259303721487E-2</v>
      </c>
      <c r="V22" s="4">
        <v>2.6941626650660268E-2</v>
      </c>
      <c r="W22" s="4">
        <v>2.6334993997599043E-2</v>
      </c>
      <c r="X22" s="4">
        <v>2.5728361344537817E-2</v>
      </c>
      <c r="Y22" s="4">
        <v>2.5121728691476591E-2</v>
      </c>
      <c r="Z22" s="4">
        <v>2.4515096038415365E-2</v>
      </c>
      <c r="AA22" s="4">
        <v>2.3908463385354146E-2</v>
      </c>
      <c r="AB22" s="4">
        <v>2.330183073229292E-2</v>
      </c>
      <c r="AC22" s="4">
        <v>2.2695198079231694E-2</v>
      </c>
      <c r="AD22" s="4">
        <v>2.2088565426170468E-2</v>
      </c>
      <c r="AE22" s="4">
        <v>2.1481932773109242E-2</v>
      </c>
      <c r="AF22" s="4">
        <v>2.0875300120048023E-2</v>
      </c>
      <c r="AG22" s="4">
        <v>2.0268667466986797E-2</v>
      </c>
      <c r="AH22" s="4">
        <v>1.9662034813925571E-2</v>
      </c>
      <c r="AI22" s="4">
        <v>1.9055402160864345E-2</v>
      </c>
      <c r="AJ22" s="4">
        <v>1.8448769507803119E-2</v>
      </c>
      <c r="AK22" s="79">
        <v>1.78421368547419E-2</v>
      </c>
    </row>
    <row r="23" spans="2:37" x14ac:dyDescent="0.35">
      <c r="I23" s="78" t="s">
        <v>276</v>
      </c>
      <c r="J23" s="4">
        <v>2.5977890665149557E-2</v>
      </c>
      <c r="K23" s="4">
        <v>2.418631199858752E-2</v>
      </c>
      <c r="L23" s="4">
        <v>2.2394733332025477E-2</v>
      </c>
      <c r="M23" s="4">
        <v>2.060315466546344E-2</v>
      </c>
      <c r="N23" s="4">
        <v>1.8811575998901403E-2</v>
      </c>
      <c r="O23" s="4">
        <v>1.7019997332339366E-2</v>
      </c>
      <c r="P23" s="4">
        <v>1.5228418665777328E-2</v>
      </c>
      <c r="Q23" s="4">
        <v>1.3436839999215288E-2</v>
      </c>
      <c r="R23" s="4">
        <v>1.3164903951612121E-2</v>
      </c>
      <c r="S23" s="4">
        <v>1.2892967904008954E-2</v>
      </c>
      <c r="T23" s="4">
        <v>1.2621031856405788E-2</v>
      </c>
      <c r="U23" s="4">
        <v>1.2349095808802621E-2</v>
      </c>
      <c r="V23" s="4">
        <v>1.2077159761199453E-2</v>
      </c>
      <c r="W23" s="4">
        <v>1.1805223713596286E-2</v>
      </c>
      <c r="X23" s="4">
        <v>1.153328766599312E-2</v>
      </c>
      <c r="Y23" s="4">
        <v>1.1261351618389953E-2</v>
      </c>
      <c r="Z23" s="4">
        <v>1.0989415570786787E-2</v>
      </c>
      <c r="AA23" s="4">
        <v>1.0717479523183622E-2</v>
      </c>
      <c r="AB23" s="4">
        <v>1.0445543475580455E-2</v>
      </c>
      <c r="AC23" s="4">
        <v>1.0173607427977288E-2</v>
      </c>
      <c r="AD23" s="4">
        <v>9.9016713803741219E-3</v>
      </c>
      <c r="AE23" s="4">
        <v>9.6297353327709553E-3</v>
      </c>
      <c r="AF23" s="4">
        <v>9.3577992851677887E-3</v>
      </c>
      <c r="AG23" s="4">
        <v>9.0858632375646221E-3</v>
      </c>
      <c r="AH23" s="4">
        <v>8.8139271899614555E-3</v>
      </c>
      <c r="AI23" s="4">
        <v>8.5419911423582889E-3</v>
      </c>
      <c r="AJ23" s="4">
        <v>8.2700550947551223E-3</v>
      </c>
      <c r="AK23" s="79">
        <v>7.9981190471519557E-3</v>
      </c>
    </row>
    <row r="24" spans="2:37" x14ac:dyDescent="0.35">
      <c r="I24" s="78"/>
      <c r="AK24" s="79"/>
    </row>
    <row r="25" spans="2:37" x14ac:dyDescent="0.35">
      <c r="I25" s="78"/>
      <c r="AK25" s="79"/>
    </row>
    <row r="26" spans="2:37" x14ac:dyDescent="0.35">
      <c r="I26" s="78" t="s">
        <v>480</v>
      </c>
      <c r="AK26" s="79"/>
    </row>
    <row r="27" spans="2:37" x14ac:dyDescent="0.35">
      <c r="I27" s="78"/>
      <c r="J27" s="4">
        <v>2023</v>
      </c>
      <c r="K27" s="4">
        <v>2024</v>
      </c>
      <c r="L27" s="4">
        <v>2025</v>
      </c>
      <c r="M27" s="4">
        <v>2026</v>
      </c>
      <c r="N27" s="4">
        <v>2027</v>
      </c>
      <c r="O27" s="4">
        <v>2028</v>
      </c>
      <c r="P27" s="4">
        <v>2029</v>
      </c>
      <c r="Q27" s="4">
        <v>2030</v>
      </c>
      <c r="R27" s="4">
        <v>2031</v>
      </c>
      <c r="S27" s="4">
        <v>2032</v>
      </c>
      <c r="T27" s="4">
        <v>2033</v>
      </c>
      <c r="U27" s="4">
        <v>2034</v>
      </c>
      <c r="V27" s="4">
        <v>2035</v>
      </c>
      <c r="W27" s="4">
        <v>2036</v>
      </c>
      <c r="X27" s="4">
        <v>2037</v>
      </c>
      <c r="Y27" s="4">
        <v>2038</v>
      </c>
      <c r="Z27" s="4">
        <v>2039</v>
      </c>
      <c r="AA27" s="4">
        <v>2040</v>
      </c>
      <c r="AB27" s="4">
        <v>2041</v>
      </c>
      <c r="AC27" s="4">
        <v>2042</v>
      </c>
      <c r="AD27" s="4">
        <v>2043</v>
      </c>
      <c r="AE27" s="4">
        <v>2044</v>
      </c>
      <c r="AF27" s="4">
        <v>2045</v>
      </c>
      <c r="AG27" s="4">
        <v>2046</v>
      </c>
      <c r="AH27" s="4">
        <v>2047</v>
      </c>
      <c r="AI27" s="4">
        <v>2048</v>
      </c>
      <c r="AJ27" s="4">
        <v>2049</v>
      </c>
      <c r="AK27" s="79">
        <v>2050</v>
      </c>
    </row>
    <row r="28" spans="2:37" x14ac:dyDescent="0.35">
      <c r="I28" s="78" t="s">
        <v>405</v>
      </c>
      <c r="J28" s="4">
        <v>8.0999995899999996E-2</v>
      </c>
      <c r="K28" s="4">
        <v>8.0999995899999996E-2</v>
      </c>
      <c r="L28" s="4">
        <v>8.0999995899999996E-2</v>
      </c>
      <c r="M28" s="4">
        <v>8.0999995899999996E-2</v>
      </c>
      <c r="N28" s="4">
        <v>8.0999995899999996E-2</v>
      </c>
      <c r="O28" s="4">
        <v>8.0999995899999996E-2</v>
      </c>
      <c r="P28" s="4">
        <v>8.0999995899999996E-2</v>
      </c>
      <c r="Q28" s="4">
        <v>8.0999995899999996E-2</v>
      </c>
      <c r="R28" s="4">
        <v>8.3066662360000001E-2</v>
      </c>
      <c r="S28" s="4">
        <v>8.5133328820000007E-2</v>
      </c>
      <c r="T28" s="4">
        <v>8.7199995280000012E-2</v>
      </c>
      <c r="U28" s="4">
        <v>8.9266661740000017E-2</v>
      </c>
      <c r="V28" s="4">
        <v>9.1333328199999994E-2</v>
      </c>
      <c r="W28" s="4">
        <v>9.046666162E-2</v>
      </c>
      <c r="X28" s="4">
        <v>8.9599995039999991E-2</v>
      </c>
      <c r="Y28" s="4">
        <v>8.8733328459999983E-2</v>
      </c>
      <c r="Z28" s="4">
        <v>8.7866661879999974E-2</v>
      </c>
      <c r="AA28" s="4">
        <v>8.6999995299999994E-2</v>
      </c>
      <c r="AB28" s="4">
        <v>8.6133328719999985E-2</v>
      </c>
      <c r="AC28" s="4">
        <v>8.5266662139999991E-2</v>
      </c>
      <c r="AD28" s="4">
        <v>8.4399995559999982E-2</v>
      </c>
      <c r="AE28" s="4">
        <v>8.3533328979999974E-2</v>
      </c>
      <c r="AF28" s="4">
        <v>8.2666662399999993E-2</v>
      </c>
      <c r="AG28" s="4">
        <v>8.1799995819999985E-2</v>
      </c>
      <c r="AH28" s="4">
        <v>8.093332923999999E-2</v>
      </c>
      <c r="AI28" s="4">
        <v>8.0066662659999982E-2</v>
      </c>
      <c r="AJ28" s="4">
        <v>7.9199996079999987E-2</v>
      </c>
      <c r="AK28" s="79">
        <v>7.8333329499999993E-2</v>
      </c>
    </row>
    <row r="29" spans="2:37" x14ac:dyDescent="0.35">
      <c r="I29" s="78" t="s">
        <v>102</v>
      </c>
      <c r="J29" s="4">
        <v>0.17650758633144634</v>
      </c>
      <c r="K29" s="4">
        <v>0.17141203646151962</v>
      </c>
      <c r="L29" s="4">
        <v>0.16631648659159295</v>
      </c>
      <c r="M29" s="4">
        <v>0.16281432766630949</v>
      </c>
      <c r="N29" s="4">
        <v>0.15931216874102602</v>
      </c>
      <c r="O29" s="4">
        <v>0.15581000981574256</v>
      </c>
      <c r="P29" s="4">
        <v>0.15230785089045909</v>
      </c>
      <c r="Q29" s="4">
        <v>0.1488056919651756</v>
      </c>
      <c r="R29" s="4">
        <v>0.14909793604375518</v>
      </c>
      <c r="S29" s="4">
        <v>0.14939018012233476</v>
      </c>
      <c r="T29" s="4">
        <v>0.14968242420091435</v>
      </c>
      <c r="U29" s="4">
        <v>0.14997466827949391</v>
      </c>
      <c r="V29" s="4">
        <v>0.15026691235807355</v>
      </c>
      <c r="W29" s="4">
        <v>0.14685063279900346</v>
      </c>
      <c r="X29" s="4">
        <v>0.14343435323993334</v>
      </c>
      <c r="Y29" s="4">
        <v>0.14001807368086325</v>
      </c>
      <c r="Z29" s="4">
        <v>0.13660179412179316</v>
      </c>
      <c r="AA29" s="4">
        <v>0.1331855145627231</v>
      </c>
      <c r="AB29" s="4">
        <v>0.13003016708307891</v>
      </c>
      <c r="AC29" s="4">
        <v>0.12687481960343472</v>
      </c>
      <c r="AD29" s="4">
        <v>0.12371947212379053</v>
      </c>
      <c r="AE29" s="4">
        <v>0.12056412464414634</v>
      </c>
      <c r="AF29" s="4">
        <v>0.11740877716450215</v>
      </c>
      <c r="AG29" s="4">
        <v>0.11483288597039364</v>
      </c>
      <c r="AH29" s="4">
        <v>0.11225699477628512</v>
      </c>
      <c r="AI29" s="4">
        <v>0.10968110358217659</v>
      </c>
      <c r="AJ29" s="4">
        <v>0.10710521238806807</v>
      </c>
      <c r="AK29" s="79">
        <v>0.10452932119395957</v>
      </c>
    </row>
    <row r="30" spans="2:37" x14ac:dyDescent="0.35">
      <c r="I30" s="78" t="s">
        <v>185</v>
      </c>
      <c r="J30" s="4">
        <v>0.15796068463848831</v>
      </c>
      <c r="K30" s="4">
        <v>0.15426708731267802</v>
      </c>
      <c r="L30" s="4">
        <v>0.1505734899868677</v>
      </c>
      <c r="M30" s="4">
        <v>0.14821852539008218</v>
      </c>
      <c r="N30" s="4">
        <v>0.14586356079329663</v>
      </c>
      <c r="O30" s="4">
        <v>0.1435085961965111</v>
      </c>
      <c r="P30" s="4">
        <v>0.14115363159972555</v>
      </c>
      <c r="Q30" s="4">
        <v>0.13879866700293997</v>
      </c>
      <c r="R30" s="4">
        <v>0.1405953284523826</v>
      </c>
      <c r="S30" s="4">
        <v>0.14239198990182525</v>
      </c>
      <c r="T30" s="4">
        <v>0.14418865135126788</v>
      </c>
      <c r="U30" s="4">
        <v>0.14598531280071053</v>
      </c>
      <c r="V30" s="4">
        <v>0.14778197425015313</v>
      </c>
      <c r="W30" s="4">
        <v>0.14497239428752798</v>
      </c>
      <c r="X30" s="4">
        <v>0.14216281432490285</v>
      </c>
      <c r="Y30" s="4">
        <v>0.1393532343622777</v>
      </c>
      <c r="Z30" s="4">
        <v>0.13654365439965255</v>
      </c>
      <c r="AA30" s="4">
        <v>0.13373407443702739</v>
      </c>
      <c r="AB30" s="4">
        <v>0.13116562897048312</v>
      </c>
      <c r="AC30" s="4">
        <v>0.12859718350393887</v>
      </c>
      <c r="AD30" s="4">
        <v>0.12602873803739459</v>
      </c>
      <c r="AE30" s="4">
        <v>0.1234602925708503</v>
      </c>
      <c r="AF30" s="4">
        <v>0.12089184710430603</v>
      </c>
      <c r="AG30" s="4">
        <v>0.11844996886324041</v>
      </c>
      <c r="AH30" s="4">
        <v>0.11600809062217481</v>
      </c>
      <c r="AI30" s="4">
        <v>0.1135662123811092</v>
      </c>
      <c r="AJ30" s="4">
        <v>0.11112433414004359</v>
      </c>
      <c r="AK30" s="79">
        <v>0.10868245589897794</v>
      </c>
    </row>
    <row r="31" spans="2:37" x14ac:dyDescent="0.35">
      <c r="I31" s="78" t="s">
        <v>186</v>
      </c>
      <c r="J31" s="4">
        <v>0.33860978809845654</v>
      </c>
      <c r="K31" s="4">
        <v>0.32399893120368356</v>
      </c>
      <c r="L31" s="4">
        <v>0.30938807430891058</v>
      </c>
      <c r="M31" s="4">
        <v>0.29628478287221349</v>
      </c>
      <c r="N31" s="4">
        <v>0.28318149143551641</v>
      </c>
      <c r="O31" s="4">
        <v>0.27007819999881932</v>
      </c>
      <c r="P31" s="4">
        <v>0.25697490856212224</v>
      </c>
      <c r="Q31" s="4">
        <v>0.24387161712542507</v>
      </c>
      <c r="R31" s="4">
        <v>0.23813955720586791</v>
      </c>
      <c r="S31" s="4">
        <v>0.23240749728631072</v>
      </c>
      <c r="T31" s="4">
        <v>0.22667543736675355</v>
      </c>
      <c r="U31" s="4">
        <v>0.22094337744719639</v>
      </c>
      <c r="V31" s="4">
        <v>0.21521131752763925</v>
      </c>
      <c r="W31" s="4">
        <v>0.20784400914982837</v>
      </c>
      <c r="X31" s="4">
        <v>0.20047670077201749</v>
      </c>
      <c r="Y31" s="4">
        <v>0.19310939239420657</v>
      </c>
      <c r="Z31" s="4">
        <v>0.18574208401639569</v>
      </c>
      <c r="AA31" s="4">
        <v>0.17837477563858489</v>
      </c>
      <c r="AB31" s="4">
        <v>0.17337343843558548</v>
      </c>
      <c r="AC31" s="4">
        <v>0.16837210123258603</v>
      </c>
      <c r="AD31" s="4">
        <v>0.16337076402958661</v>
      </c>
      <c r="AE31" s="4">
        <v>0.15836942682658722</v>
      </c>
      <c r="AF31" s="4">
        <v>0.15336808962358783</v>
      </c>
      <c r="AG31" s="4">
        <v>0.14990370608596207</v>
      </c>
      <c r="AH31" s="4">
        <v>0.1464393225483363</v>
      </c>
      <c r="AI31" s="4">
        <v>0.14297493901071057</v>
      </c>
      <c r="AJ31" s="4">
        <v>0.1395105554730848</v>
      </c>
      <c r="AK31" s="79">
        <v>0.13604617193545901</v>
      </c>
    </row>
    <row r="32" spans="2:37" x14ac:dyDescent="0.35">
      <c r="I32" s="78" t="s">
        <v>11</v>
      </c>
      <c r="J32" s="4">
        <v>6.4802641056422569E-2</v>
      </c>
      <c r="K32" s="4">
        <v>6.3089795918367345E-2</v>
      </c>
      <c r="L32" s="4">
        <v>6.1376950780312127E-2</v>
      </c>
      <c r="M32" s="4">
        <v>5.9664105642256909E-2</v>
      </c>
      <c r="N32" s="4">
        <v>5.7951260504201692E-2</v>
      </c>
      <c r="O32" s="4">
        <v>5.6238415366146474E-2</v>
      </c>
      <c r="P32" s="4">
        <v>5.4525570228091257E-2</v>
      </c>
      <c r="Q32" s="4">
        <v>5.2812725090036025E-2</v>
      </c>
      <c r="R32" s="4">
        <v>5.2313145258103252E-2</v>
      </c>
      <c r="S32" s="4">
        <v>5.181356542617048E-2</v>
      </c>
      <c r="T32" s="4">
        <v>5.1313985594237707E-2</v>
      </c>
      <c r="U32" s="4">
        <v>5.0814405762304934E-2</v>
      </c>
      <c r="V32" s="4">
        <v>5.0314825930372155E-2</v>
      </c>
      <c r="W32" s="4">
        <v>4.9815246098439382E-2</v>
      </c>
      <c r="X32" s="4">
        <v>4.931566626650661E-2</v>
      </c>
      <c r="Y32" s="4">
        <v>4.8816086434573837E-2</v>
      </c>
      <c r="Z32" s="4">
        <v>4.8316506602641064E-2</v>
      </c>
      <c r="AA32" s="4">
        <v>4.7816926770708292E-2</v>
      </c>
      <c r="AB32" s="4">
        <v>4.7317346938775519E-2</v>
      </c>
      <c r="AC32" s="4">
        <v>4.6817767106842746E-2</v>
      </c>
      <c r="AD32" s="4">
        <v>4.6318187274909974E-2</v>
      </c>
      <c r="AE32" s="4">
        <v>4.5818607442977201E-2</v>
      </c>
      <c r="AF32" s="4">
        <v>4.5319027611044428E-2</v>
      </c>
      <c r="AG32" s="4">
        <v>4.4819447779111656E-2</v>
      </c>
      <c r="AH32" s="4">
        <v>4.4319867947178883E-2</v>
      </c>
      <c r="AI32" s="4">
        <v>4.382028811524611E-2</v>
      </c>
      <c r="AJ32" s="4">
        <v>4.3320708283313338E-2</v>
      </c>
      <c r="AK32" s="79">
        <v>4.2821128451380565E-2</v>
      </c>
    </row>
    <row r="33" spans="9:37" x14ac:dyDescent="0.35">
      <c r="I33" s="78" t="s">
        <v>275</v>
      </c>
      <c r="J33" s="4">
        <v>6.4802641056422569E-2</v>
      </c>
      <c r="K33" s="4">
        <v>6.3089795918367345E-2</v>
      </c>
      <c r="L33" s="4">
        <v>6.1376950780312127E-2</v>
      </c>
      <c r="M33" s="4">
        <v>5.9664105642256909E-2</v>
      </c>
      <c r="N33" s="4">
        <v>5.7951260504201692E-2</v>
      </c>
      <c r="O33" s="4">
        <v>5.6238415366146474E-2</v>
      </c>
      <c r="P33" s="4">
        <v>5.4525570228091257E-2</v>
      </c>
      <c r="Q33" s="4">
        <v>5.2812725090036025E-2</v>
      </c>
      <c r="R33" s="4">
        <v>5.2313145258103252E-2</v>
      </c>
      <c r="S33" s="4">
        <v>5.181356542617048E-2</v>
      </c>
      <c r="T33" s="4">
        <v>5.1313985594237707E-2</v>
      </c>
      <c r="U33" s="4">
        <v>5.0814405762304934E-2</v>
      </c>
      <c r="V33" s="4">
        <v>5.0314825930372155E-2</v>
      </c>
      <c r="W33" s="4">
        <v>4.9815246098439382E-2</v>
      </c>
      <c r="X33" s="4">
        <v>4.931566626650661E-2</v>
      </c>
      <c r="Y33" s="4">
        <v>4.8816086434573837E-2</v>
      </c>
      <c r="Z33" s="4">
        <v>4.8316506602641064E-2</v>
      </c>
      <c r="AA33" s="4">
        <v>4.7816926770708292E-2</v>
      </c>
      <c r="AB33" s="4">
        <v>4.7317346938775519E-2</v>
      </c>
      <c r="AC33" s="4">
        <v>4.6817767106842746E-2</v>
      </c>
      <c r="AD33" s="4">
        <v>4.6318187274909974E-2</v>
      </c>
      <c r="AE33" s="4">
        <v>4.5818607442977201E-2</v>
      </c>
      <c r="AF33" s="4">
        <v>4.5319027611044428E-2</v>
      </c>
      <c r="AG33" s="4">
        <v>4.4819447779111656E-2</v>
      </c>
      <c r="AH33" s="4">
        <v>4.4319867947178883E-2</v>
      </c>
      <c r="AI33" s="4">
        <v>4.382028811524611E-2</v>
      </c>
      <c r="AJ33" s="4">
        <v>4.3320708283313338E-2</v>
      </c>
      <c r="AK33" s="79">
        <v>4.2821128451380565E-2</v>
      </c>
    </row>
    <row r="34" spans="9:37" x14ac:dyDescent="0.35">
      <c r="I34" s="78" t="s">
        <v>276</v>
      </c>
      <c r="J34" s="4">
        <v>2.9049168379255901E-2</v>
      </c>
      <c r="K34" s="4">
        <v>2.8281348950729313E-2</v>
      </c>
      <c r="L34" s="4">
        <v>2.7513529522202727E-2</v>
      </c>
      <c r="M34" s="4">
        <v>2.6745710093676139E-2</v>
      </c>
      <c r="N34" s="4">
        <v>2.597789066514955E-2</v>
      </c>
      <c r="O34" s="4">
        <v>2.5210071236622961E-2</v>
      </c>
      <c r="P34" s="4">
        <v>2.4442251808096373E-2</v>
      </c>
      <c r="Q34" s="4">
        <v>2.3674432379569791E-2</v>
      </c>
      <c r="R34" s="4">
        <v>2.3450485046249536E-2</v>
      </c>
      <c r="S34" s="4">
        <v>2.322653771292928E-2</v>
      </c>
      <c r="T34" s="4">
        <v>2.3002590379609025E-2</v>
      </c>
      <c r="U34" s="4">
        <v>2.2778643046288769E-2</v>
      </c>
      <c r="V34" s="4">
        <v>2.2554695712968514E-2</v>
      </c>
      <c r="W34" s="4">
        <v>2.2330748379648258E-2</v>
      </c>
      <c r="X34" s="4">
        <v>2.2106801046328003E-2</v>
      </c>
      <c r="Y34" s="4">
        <v>2.1882853713007747E-2</v>
      </c>
      <c r="Z34" s="4">
        <v>2.1658906379687492E-2</v>
      </c>
      <c r="AA34" s="4">
        <v>2.1434959046367243E-2</v>
      </c>
      <c r="AB34" s="4">
        <v>2.1211011713046988E-2</v>
      </c>
      <c r="AC34" s="4">
        <v>2.0987064379726732E-2</v>
      </c>
      <c r="AD34" s="4">
        <v>2.0763117046406477E-2</v>
      </c>
      <c r="AE34" s="4">
        <v>2.0539169713086221E-2</v>
      </c>
      <c r="AF34" s="4">
        <v>2.0315222379765973E-2</v>
      </c>
      <c r="AG34" s="4">
        <v>2.0091275046445718E-2</v>
      </c>
      <c r="AH34" s="4">
        <v>1.9867327713125462E-2</v>
      </c>
      <c r="AI34" s="4">
        <v>1.9643380379805207E-2</v>
      </c>
      <c r="AJ34" s="4">
        <v>1.9419433046484951E-2</v>
      </c>
      <c r="AK34" s="79">
        <v>1.9195485713164699E-2</v>
      </c>
    </row>
    <row r="35" spans="9:37" x14ac:dyDescent="0.35">
      <c r="I35" s="78"/>
      <c r="AK35" s="79"/>
    </row>
    <row r="36" spans="9:37" x14ac:dyDescent="0.35">
      <c r="I36" s="78"/>
      <c r="AK36" s="79"/>
    </row>
    <row r="37" spans="9:37" x14ac:dyDescent="0.35">
      <c r="I37" s="78" t="s">
        <v>481</v>
      </c>
      <c r="AK37" s="79"/>
    </row>
    <row r="38" spans="9:37" x14ac:dyDescent="0.35">
      <c r="I38" s="78"/>
      <c r="J38" s="4">
        <v>2023</v>
      </c>
      <c r="K38" s="4">
        <v>2024</v>
      </c>
      <c r="L38" s="4">
        <v>2025</v>
      </c>
      <c r="M38" s="4">
        <v>2026</v>
      </c>
      <c r="N38" s="4">
        <v>2027</v>
      </c>
      <c r="O38" s="4">
        <v>2028</v>
      </c>
      <c r="P38" s="4">
        <v>2029</v>
      </c>
      <c r="Q38" s="4">
        <v>2030</v>
      </c>
      <c r="R38" s="4">
        <v>2031</v>
      </c>
      <c r="S38" s="4">
        <v>2032</v>
      </c>
      <c r="T38" s="4">
        <v>2033</v>
      </c>
      <c r="U38" s="4">
        <v>2034</v>
      </c>
      <c r="V38" s="4">
        <v>2035</v>
      </c>
      <c r="W38" s="4">
        <v>2036</v>
      </c>
      <c r="X38" s="4">
        <v>2037</v>
      </c>
      <c r="Y38" s="4">
        <v>2038</v>
      </c>
      <c r="Z38" s="4">
        <v>2039</v>
      </c>
      <c r="AA38" s="4">
        <v>2040</v>
      </c>
      <c r="AB38" s="4">
        <v>2041</v>
      </c>
      <c r="AC38" s="4">
        <v>2042</v>
      </c>
      <c r="AD38" s="4">
        <v>2043</v>
      </c>
      <c r="AE38" s="4">
        <v>2044</v>
      </c>
      <c r="AF38" s="4">
        <v>2045</v>
      </c>
      <c r="AG38" s="4">
        <v>2046</v>
      </c>
      <c r="AH38" s="4">
        <v>2047</v>
      </c>
      <c r="AI38" s="4">
        <v>2048</v>
      </c>
      <c r="AJ38" s="4">
        <v>2049</v>
      </c>
      <c r="AK38" s="79">
        <v>2050</v>
      </c>
    </row>
    <row r="39" spans="9:37" x14ac:dyDescent="0.35">
      <c r="I39" s="78" t="s">
        <v>405</v>
      </c>
      <c r="J39" s="4">
        <v>9.4166661249999992E-2</v>
      </c>
      <c r="K39" s="4">
        <v>9.4166661249999992E-2</v>
      </c>
      <c r="L39" s="4">
        <v>9.4166661249999992E-2</v>
      </c>
      <c r="M39" s="4">
        <v>9.4166661249999992E-2</v>
      </c>
      <c r="N39" s="4">
        <v>9.4166661249999992E-2</v>
      </c>
      <c r="O39" s="4">
        <v>9.4166661249999992E-2</v>
      </c>
      <c r="P39" s="4">
        <v>9.4166661249999992E-2</v>
      </c>
      <c r="Q39" s="4">
        <v>9.4166661249999992E-2</v>
      </c>
      <c r="R39" s="4">
        <v>9.5999994399999997E-2</v>
      </c>
      <c r="S39" s="4">
        <v>9.7833327550000002E-2</v>
      </c>
      <c r="T39" s="4">
        <v>9.9666660700000007E-2</v>
      </c>
      <c r="U39" s="4">
        <v>0.10149999385000001</v>
      </c>
      <c r="V39" s="4">
        <v>0.103333327</v>
      </c>
      <c r="W39" s="4">
        <v>0.1023333271</v>
      </c>
      <c r="X39" s="4">
        <v>0.10133332719999999</v>
      </c>
      <c r="Y39" s="4">
        <v>0.10033332729999998</v>
      </c>
      <c r="Z39" s="4">
        <v>9.9333327399999977E-2</v>
      </c>
      <c r="AA39" s="4">
        <v>9.8333327499999998E-2</v>
      </c>
      <c r="AB39" s="4">
        <v>9.7333327599999991E-2</v>
      </c>
      <c r="AC39" s="4">
        <v>9.6333327699999985E-2</v>
      </c>
      <c r="AD39" s="4">
        <v>9.5333327799999978E-2</v>
      </c>
      <c r="AE39" s="4">
        <v>9.4333327899999986E-2</v>
      </c>
      <c r="AF39" s="4">
        <v>9.3333328000000007E-2</v>
      </c>
      <c r="AG39" s="4">
        <v>9.2333328100000001E-2</v>
      </c>
      <c r="AH39" s="4">
        <v>9.1333328199999994E-2</v>
      </c>
      <c r="AI39" s="4">
        <v>9.0333328299999988E-2</v>
      </c>
      <c r="AJ39" s="4">
        <v>8.9333328399999981E-2</v>
      </c>
      <c r="AK39" s="79">
        <v>8.8333328500000016E-2</v>
      </c>
    </row>
    <row r="40" spans="9:37" x14ac:dyDescent="0.35">
      <c r="I40" s="78" t="s">
        <v>102</v>
      </c>
      <c r="J40" s="4">
        <v>0.19695917693522813</v>
      </c>
      <c r="K40" s="4">
        <v>0.1918445490889919</v>
      </c>
      <c r="L40" s="4">
        <v>0.1867299212427557</v>
      </c>
      <c r="M40" s="4">
        <v>0.18316543121930073</v>
      </c>
      <c r="N40" s="4">
        <v>0.1796009411958458</v>
      </c>
      <c r="O40" s="4">
        <v>0.17603645117239083</v>
      </c>
      <c r="P40" s="4">
        <v>0.17247196114893587</v>
      </c>
      <c r="Q40" s="4">
        <v>0.16890747112548093</v>
      </c>
      <c r="R40" s="4">
        <v>0.16876144856602932</v>
      </c>
      <c r="S40" s="4">
        <v>0.16861542600657767</v>
      </c>
      <c r="T40" s="4">
        <v>0.16846940344712602</v>
      </c>
      <c r="U40" s="4">
        <v>0.1683233808876744</v>
      </c>
      <c r="V40" s="4">
        <v>0.16817735832822278</v>
      </c>
      <c r="W40" s="4">
        <v>0.16448316805908789</v>
      </c>
      <c r="X40" s="4">
        <v>0.16078897778995299</v>
      </c>
      <c r="Y40" s="4">
        <v>0.15709478752081807</v>
      </c>
      <c r="Z40" s="4">
        <v>0.15340059725168312</v>
      </c>
      <c r="AA40" s="4">
        <v>0.1497064069825482</v>
      </c>
      <c r="AB40" s="4">
        <v>0.14627718374621171</v>
      </c>
      <c r="AC40" s="4">
        <v>0.14284796050987525</v>
      </c>
      <c r="AD40" s="4">
        <v>0.13941873727353876</v>
      </c>
      <c r="AE40" s="4">
        <v>0.13598951403720227</v>
      </c>
      <c r="AF40" s="4">
        <v>0.13256029080086582</v>
      </c>
      <c r="AG40" s="4">
        <v>0.12972417970496936</v>
      </c>
      <c r="AH40" s="4">
        <v>0.12688806860907287</v>
      </c>
      <c r="AI40" s="4">
        <v>0.12405195751317638</v>
      </c>
      <c r="AJ40" s="4">
        <v>0.12121584641727991</v>
      </c>
      <c r="AK40" s="79">
        <v>0.11837973532138339</v>
      </c>
    </row>
    <row r="41" spans="9:37" x14ac:dyDescent="0.35">
      <c r="I41" s="78" t="s">
        <v>185</v>
      </c>
      <c r="J41" s="4">
        <v>0.18104231880665794</v>
      </c>
      <c r="K41" s="4">
        <v>0.17732719010569079</v>
      </c>
      <c r="L41" s="4">
        <v>0.17361206140472354</v>
      </c>
      <c r="M41" s="4">
        <v>0.17118675002498271</v>
      </c>
      <c r="N41" s="4">
        <v>0.16876143864524187</v>
      </c>
      <c r="O41" s="4">
        <v>0.16633612726550104</v>
      </c>
      <c r="P41" s="4">
        <v>0.1639108158857602</v>
      </c>
      <c r="Q41" s="4">
        <v>0.16148550450601945</v>
      </c>
      <c r="R41" s="4">
        <v>0.1627875388918204</v>
      </c>
      <c r="S41" s="4">
        <v>0.16408957327762139</v>
      </c>
      <c r="T41" s="4">
        <v>0.16539160766342234</v>
      </c>
      <c r="U41" s="4">
        <v>0.16669364204922332</v>
      </c>
      <c r="V41" s="4">
        <v>0.16799567643502425</v>
      </c>
      <c r="W41" s="4">
        <v>0.16487244686609676</v>
      </c>
      <c r="X41" s="4">
        <v>0.16174921729716923</v>
      </c>
      <c r="Y41" s="4">
        <v>0.15862598772824177</v>
      </c>
      <c r="Z41" s="4">
        <v>0.15550275815931427</v>
      </c>
      <c r="AA41" s="4">
        <v>0.15237952859038681</v>
      </c>
      <c r="AB41" s="4">
        <v>0.14950198735980291</v>
      </c>
      <c r="AC41" s="4">
        <v>0.14662444612921899</v>
      </c>
      <c r="AD41" s="4">
        <v>0.14374690489863506</v>
      </c>
      <c r="AE41" s="4">
        <v>0.14086936366805117</v>
      </c>
      <c r="AF41" s="4">
        <v>0.13799182243746722</v>
      </c>
      <c r="AG41" s="4">
        <v>0.1352562604095163</v>
      </c>
      <c r="AH41" s="4">
        <v>0.13252069838156535</v>
      </c>
      <c r="AI41" s="4">
        <v>0.12978513635361441</v>
      </c>
      <c r="AJ41" s="4">
        <v>0.12704957432566347</v>
      </c>
      <c r="AK41" s="79">
        <v>0.12431401229771254</v>
      </c>
    </row>
    <row r="42" spans="9:37" x14ac:dyDescent="0.35">
      <c r="I42" s="78" t="s">
        <v>186</v>
      </c>
      <c r="J42" s="4">
        <v>0.36417427635318367</v>
      </c>
      <c r="K42" s="4">
        <v>0.34953957198802377</v>
      </c>
      <c r="L42" s="4">
        <v>0.33490486762286403</v>
      </c>
      <c r="M42" s="4">
        <v>0.32172366231345256</v>
      </c>
      <c r="N42" s="4">
        <v>0.30854245700404115</v>
      </c>
      <c r="O42" s="4">
        <v>0.29536125169462968</v>
      </c>
      <c r="P42" s="4">
        <v>0.28218004638521826</v>
      </c>
      <c r="Q42" s="4">
        <v>0.26899884107580674</v>
      </c>
      <c r="R42" s="4">
        <v>0.26271894785871058</v>
      </c>
      <c r="S42" s="4">
        <v>0.25643905464161443</v>
      </c>
      <c r="T42" s="4">
        <v>0.25015916142451827</v>
      </c>
      <c r="U42" s="4">
        <v>0.24387926820742209</v>
      </c>
      <c r="V42" s="4">
        <v>0.23759937499032585</v>
      </c>
      <c r="W42" s="4">
        <v>0.22988467822493394</v>
      </c>
      <c r="X42" s="4">
        <v>0.22216998145954203</v>
      </c>
      <c r="Y42" s="4">
        <v>0.21445528469415012</v>
      </c>
      <c r="Z42" s="4">
        <v>0.20674058792875821</v>
      </c>
      <c r="AA42" s="4">
        <v>0.19902589116336625</v>
      </c>
      <c r="AB42" s="4">
        <v>0.19368220926450147</v>
      </c>
      <c r="AC42" s="4">
        <v>0.18833852736563667</v>
      </c>
      <c r="AD42" s="4">
        <v>0.18299484546677189</v>
      </c>
      <c r="AE42" s="4">
        <v>0.17765116356790711</v>
      </c>
      <c r="AF42" s="4">
        <v>0.17230748166904239</v>
      </c>
      <c r="AG42" s="4">
        <v>0.16851782325418166</v>
      </c>
      <c r="AH42" s="4">
        <v>0.16472816483932096</v>
      </c>
      <c r="AI42" s="4">
        <v>0.16093850642446025</v>
      </c>
      <c r="AJ42" s="4">
        <v>0.15714884800959955</v>
      </c>
      <c r="AK42" s="79">
        <v>0.15335918959473879</v>
      </c>
    </row>
    <row r="43" spans="9:37" x14ac:dyDescent="0.35">
      <c r="I43" s="78" t="s">
        <v>11</v>
      </c>
      <c r="J43" s="4">
        <v>6.7157803121248486E-2</v>
      </c>
      <c r="K43" s="4">
        <v>6.62300120048019E-2</v>
      </c>
      <c r="L43" s="4">
        <v>6.5302220888355342E-2</v>
      </c>
      <c r="M43" s="4">
        <v>6.437442977190877E-2</v>
      </c>
      <c r="N43" s="4">
        <v>6.3446638655462198E-2</v>
      </c>
      <c r="O43" s="4">
        <v>6.2518847539015626E-2</v>
      </c>
      <c r="P43" s="4">
        <v>6.1591056422569047E-2</v>
      </c>
      <c r="Q43" s="4">
        <v>6.0663265306122455E-2</v>
      </c>
      <c r="R43" s="4">
        <v>6.0591896758703488E-2</v>
      </c>
      <c r="S43" s="4">
        <v>6.0520528211284522E-2</v>
      </c>
      <c r="T43" s="4">
        <v>6.0449159663865555E-2</v>
      </c>
      <c r="U43" s="4">
        <v>6.0377791116446589E-2</v>
      </c>
      <c r="V43" s="4">
        <v>6.0306422569027615E-2</v>
      </c>
      <c r="W43" s="4">
        <v>6.0235054021608649E-2</v>
      </c>
      <c r="X43" s="4">
        <v>6.0163685474189682E-2</v>
      </c>
      <c r="Y43" s="4">
        <v>6.0092316926770716E-2</v>
      </c>
      <c r="Z43" s="4">
        <v>6.0020948379351749E-2</v>
      </c>
      <c r="AA43" s="4">
        <v>5.9949579831932782E-2</v>
      </c>
      <c r="AB43" s="4">
        <v>5.9878211284513816E-2</v>
      </c>
      <c r="AC43" s="4">
        <v>5.9806842737094849E-2</v>
      </c>
      <c r="AD43" s="4">
        <v>5.9735474189675883E-2</v>
      </c>
      <c r="AE43" s="4">
        <v>5.9664105642256916E-2</v>
      </c>
      <c r="AF43" s="4">
        <v>5.959273709483795E-2</v>
      </c>
      <c r="AG43" s="4">
        <v>5.9521368547418983E-2</v>
      </c>
      <c r="AH43" s="4">
        <v>5.9450000000000017E-2</v>
      </c>
      <c r="AI43" s="4">
        <v>5.937863145258105E-2</v>
      </c>
      <c r="AJ43" s="4">
        <v>5.9307262905162084E-2</v>
      </c>
      <c r="AK43" s="79">
        <v>5.923589435774311E-2</v>
      </c>
    </row>
    <row r="44" spans="9:37" x14ac:dyDescent="0.35">
      <c r="I44" s="78" t="s">
        <v>275</v>
      </c>
      <c r="J44" s="4">
        <v>6.7157803121248486E-2</v>
      </c>
      <c r="K44" s="4">
        <v>6.62300120048019E-2</v>
      </c>
      <c r="L44" s="4">
        <v>6.5302220888355342E-2</v>
      </c>
      <c r="M44" s="4">
        <v>6.437442977190877E-2</v>
      </c>
      <c r="N44" s="4">
        <v>6.3446638655462198E-2</v>
      </c>
      <c r="O44" s="4">
        <v>6.2518847539015626E-2</v>
      </c>
      <c r="P44" s="4">
        <v>6.1591056422569047E-2</v>
      </c>
      <c r="Q44" s="4">
        <v>6.0663265306122455E-2</v>
      </c>
      <c r="R44" s="4">
        <v>6.0591896758703488E-2</v>
      </c>
      <c r="S44" s="4">
        <v>6.0520528211284522E-2</v>
      </c>
      <c r="T44" s="4">
        <v>6.0449159663865555E-2</v>
      </c>
      <c r="U44" s="4">
        <v>6.0377791116446589E-2</v>
      </c>
      <c r="V44" s="4">
        <v>6.0306422569027615E-2</v>
      </c>
      <c r="W44" s="4">
        <v>6.0235054021608649E-2</v>
      </c>
      <c r="X44" s="4">
        <v>6.0163685474189682E-2</v>
      </c>
      <c r="Y44" s="4">
        <v>6.0092316926770716E-2</v>
      </c>
      <c r="Z44" s="4">
        <v>6.0020948379351749E-2</v>
      </c>
      <c r="AA44" s="4">
        <v>5.9949579831932782E-2</v>
      </c>
      <c r="AB44" s="4">
        <v>5.9878211284513816E-2</v>
      </c>
      <c r="AC44" s="4">
        <v>5.9806842737094849E-2</v>
      </c>
      <c r="AD44" s="4">
        <v>5.9735474189675883E-2</v>
      </c>
      <c r="AE44" s="4">
        <v>5.9664105642256916E-2</v>
      </c>
      <c r="AF44" s="4">
        <v>5.959273709483795E-2</v>
      </c>
      <c r="AG44" s="4">
        <v>5.9521368547418983E-2</v>
      </c>
      <c r="AH44" s="4">
        <v>5.9450000000000017E-2</v>
      </c>
      <c r="AI44" s="4">
        <v>5.937863145258105E-2</v>
      </c>
      <c r="AJ44" s="4">
        <v>5.9307262905162084E-2</v>
      </c>
      <c r="AK44" s="79">
        <v>5.923589435774311E-2</v>
      </c>
    </row>
    <row r="45" spans="9:37" ht="15" thickBot="1" x14ac:dyDescent="0.4">
      <c r="I45" s="80" t="s">
        <v>276</v>
      </c>
      <c r="J45" s="81">
        <v>3.0104920093479957E-2</v>
      </c>
      <c r="K45" s="81">
        <v>2.9689017903028053E-2</v>
      </c>
      <c r="L45" s="81">
        <v>2.9273115712576157E-2</v>
      </c>
      <c r="M45" s="81">
        <v>2.8857213522124257E-2</v>
      </c>
      <c r="N45" s="81">
        <v>2.8441311331672357E-2</v>
      </c>
      <c r="O45" s="81">
        <v>2.8025409141220457E-2</v>
      </c>
      <c r="P45" s="81">
        <v>2.7609506950768557E-2</v>
      </c>
      <c r="Q45" s="81">
        <v>2.719360476031665E-2</v>
      </c>
      <c r="R45" s="81">
        <v>2.7161612284128042E-2</v>
      </c>
      <c r="S45" s="81">
        <v>2.7129619807939435E-2</v>
      </c>
      <c r="T45" s="81">
        <v>2.7097627331750827E-2</v>
      </c>
      <c r="U45" s="81">
        <v>2.706563485556222E-2</v>
      </c>
      <c r="V45" s="81">
        <v>2.7033642379373612E-2</v>
      </c>
      <c r="W45" s="81">
        <v>2.7001649903185005E-2</v>
      </c>
      <c r="X45" s="81">
        <v>2.6969657426996398E-2</v>
      </c>
      <c r="Y45" s="81">
        <v>2.693766495080779E-2</v>
      </c>
      <c r="Z45" s="81">
        <v>2.6905672474619183E-2</v>
      </c>
      <c r="AA45" s="81">
        <v>2.6873679998430575E-2</v>
      </c>
      <c r="AB45" s="81">
        <v>2.6841687522241968E-2</v>
      </c>
      <c r="AC45" s="81">
        <v>2.680969504605336E-2</v>
      </c>
      <c r="AD45" s="81">
        <v>2.6777702569864753E-2</v>
      </c>
      <c r="AE45" s="81">
        <v>2.6745710093676146E-2</v>
      </c>
      <c r="AF45" s="81">
        <v>2.6713717617487535E-2</v>
      </c>
      <c r="AG45" s="81">
        <v>2.6681725141298927E-2</v>
      </c>
      <c r="AH45" s="81">
        <v>2.664973266511032E-2</v>
      </c>
      <c r="AI45" s="81">
        <v>2.6617740188921712E-2</v>
      </c>
      <c r="AJ45" s="81">
        <v>2.6585747712733105E-2</v>
      </c>
      <c r="AK45" s="82">
        <v>2.6553755236544494E-2</v>
      </c>
    </row>
    <row r="49" spans="8:87" x14ac:dyDescent="0.35">
      <c r="I49" s="4" t="s">
        <v>490</v>
      </c>
    </row>
    <row r="50" spans="8:87" x14ac:dyDescent="0.35">
      <c r="I50" s="120" t="s">
        <v>538</v>
      </c>
    </row>
    <row r="51" spans="8:87" x14ac:dyDescent="0.35">
      <c r="I51" s="4" t="s">
        <v>491</v>
      </c>
    </row>
    <row r="52" spans="8:87" x14ac:dyDescent="0.35">
      <c r="I52" s="4" t="s">
        <v>492</v>
      </c>
      <c r="J52" s="4">
        <v>2023</v>
      </c>
      <c r="K52" s="4">
        <v>2024</v>
      </c>
      <c r="L52" s="4">
        <v>2025</v>
      </c>
      <c r="M52" s="4">
        <v>2026</v>
      </c>
      <c r="N52" s="4">
        <v>2027</v>
      </c>
      <c r="O52" s="4">
        <v>2028</v>
      </c>
      <c r="P52" s="4">
        <v>2029</v>
      </c>
      <c r="Q52" s="4">
        <v>2030</v>
      </c>
      <c r="R52" s="4">
        <v>2031</v>
      </c>
      <c r="S52" s="4">
        <v>2032</v>
      </c>
      <c r="T52" s="4">
        <v>2033</v>
      </c>
      <c r="U52" s="4">
        <v>2034</v>
      </c>
      <c r="V52" s="4">
        <v>2035</v>
      </c>
      <c r="W52" s="4">
        <v>2036</v>
      </c>
      <c r="X52" s="4">
        <v>2037</v>
      </c>
      <c r="Y52" s="4">
        <v>2038</v>
      </c>
      <c r="Z52" s="4">
        <v>2039</v>
      </c>
      <c r="AA52" s="4">
        <v>2040</v>
      </c>
      <c r="AB52" s="4">
        <v>2041</v>
      </c>
      <c r="AC52" s="4">
        <v>2042</v>
      </c>
      <c r="AD52" s="4">
        <v>2043</v>
      </c>
      <c r="AE52" s="4">
        <v>2044</v>
      </c>
      <c r="AF52" s="4">
        <v>2045</v>
      </c>
      <c r="AG52" s="4">
        <v>2046</v>
      </c>
      <c r="AH52" s="4">
        <v>2047</v>
      </c>
      <c r="AI52" s="4">
        <v>2048</v>
      </c>
      <c r="AJ52" s="4">
        <v>2049</v>
      </c>
      <c r="AK52" s="4">
        <v>2050</v>
      </c>
    </row>
    <row r="53" spans="8:87" x14ac:dyDescent="0.35">
      <c r="H53" s="120" t="s">
        <v>502</v>
      </c>
      <c r="I53" s="4" t="s">
        <v>416</v>
      </c>
      <c r="J53" s="168">
        <v>95.2</v>
      </c>
      <c r="K53" s="168">
        <v>117.6</v>
      </c>
      <c r="L53" s="168">
        <v>138.19999999999999</v>
      </c>
      <c r="M53" s="168">
        <v>158.69999999999999</v>
      </c>
      <c r="N53" s="168">
        <v>179.3</v>
      </c>
      <c r="O53" s="168">
        <v>199.8</v>
      </c>
      <c r="P53" s="168">
        <v>220.4</v>
      </c>
      <c r="Q53" s="168">
        <v>241</v>
      </c>
      <c r="R53" s="168">
        <v>241</v>
      </c>
      <c r="S53" s="168">
        <v>241</v>
      </c>
      <c r="T53" s="168">
        <v>241</v>
      </c>
      <c r="U53" s="168">
        <v>241</v>
      </c>
      <c r="V53" s="168">
        <v>241</v>
      </c>
      <c r="W53" s="168">
        <v>241</v>
      </c>
      <c r="X53" s="168">
        <v>241</v>
      </c>
      <c r="Y53" s="168">
        <v>241</v>
      </c>
      <c r="Z53" s="168">
        <v>241</v>
      </c>
      <c r="AA53" s="168">
        <v>241</v>
      </c>
      <c r="AB53" s="168">
        <v>241</v>
      </c>
      <c r="AC53" s="168">
        <v>241</v>
      </c>
      <c r="AD53" s="168">
        <v>241</v>
      </c>
      <c r="AE53" s="168">
        <v>241</v>
      </c>
      <c r="AF53" s="168">
        <v>241</v>
      </c>
      <c r="AG53" s="168">
        <v>241</v>
      </c>
      <c r="AH53" s="168">
        <v>241</v>
      </c>
      <c r="AI53" s="168">
        <v>241</v>
      </c>
      <c r="AJ53" s="168">
        <v>241</v>
      </c>
      <c r="AK53" s="168">
        <v>241</v>
      </c>
      <c r="AL53" s="4">
        <v>223</v>
      </c>
      <c r="AM53" s="4">
        <v>223</v>
      </c>
      <c r="AN53" s="4">
        <v>223</v>
      </c>
      <c r="AO53" s="4">
        <v>229.3</v>
      </c>
      <c r="AP53" s="4">
        <v>238.5</v>
      </c>
      <c r="AQ53" s="4">
        <v>248</v>
      </c>
      <c r="AR53" s="4">
        <v>257.89999999999998</v>
      </c>
      <c r="AS53" s="4">
        <v>268.2</v>
      </c>
      <c r="AT53" s="4">
        <v>279</v>
      </c>
      <c r="AU53" s="4">
        <v>290.10000000000002</v>
      </c>
      <c r="AV53" s="4">
        <v>301.7</v>
      </c>
      <c r="AW53" s="4">
        <v>313.8</v>
      </c>
      <c r="AX53" s="4">
        <v>326.39999999999998</v>
      </c>
      <c r="AY53" s="4">
        <v>336.1</v>
      </c>
      <c r="AZ53" s="4">
        <v>346.2</v>
      </c>
      <c r="BA53" s="4">
        <v>356.6</v>
      </c>
      <c r="BB53" s="4">
        <v>367.3</v>
      </c>
      <c r="BC53" s="4">
        <v>378.3</v>
      </c>
      <c r="BD53" s="4">
        <v>389.7</v>
      </c>
      <c r="BE53" s="4">
        <v>401.4</v>
      </c>
      <c r="BF53" s="4">
        <v>413.4</v>
      </c>
      <c r="BG53" s="4">
        <v>425.8</v>
      </c>
      <c r="BH53" s="4">
        <v>438.6</v>
      </c>
      <c r="BI53" s="4">
        <v>451.8</v>
      </c>
      <c r="BJ53" s="4">
        <v>465.3</v>
      </c>
      <c r="BK53" s="4">
        <v>479.3</v>
      </c>
      <c r="BL53" s="4">
        <v>493.6</v>
      </c>
      <c r="BM53" s="4">
        <v>508.4</v>
      </c>
      <c r="BN53" s="4">
        <v>523.70000000000005</v>
      </c>
      <c r="BO53" s="4">
        <v>539.4</v>
      </c>
      <c r="BP53" s="4">
        <v>555.6</v>
      </c>
      <c r="BQ53" s="4">
        <v>572.29999999999995</v>
      </c>
      <c r="BR53" s="4">
        <v>589.4</v>
      </c>
      <c r="BS53" s="4">
        <v>607.1</v>
      </c>
      <c r="BT53" s="4">
        <v>625.29999999999995</v>
      </c>
      <c r="BU53" s="4">
        <v>644.1</v>
      </c>
      <c r="BV53" s="4">
        <v>663.4</v>
      </c>
      <c r="BW53" s="4">
        <v>683.3</v>
      </c>
      <c r="BX53" s="4">
        <v>703.8</v>
      </c>
      <c r="BY53" s="4">
        <v>724.9</v>
      </c>
      <c r="BZ53" s="4">
        <v>746.7</v>
      </c>
      <c r="CA53" s="4">
        <v>769.1</v>
      </c>
      <c r="CB53" s="4">
        <v>792.1</v>
      </c>
      <c r="CC53" s="4">
        <v>808</v>
      </c>
      <c r="CD53" s="4">
        <v>824.2</v>
      </c>
      <c r="CE53" s="4">
        <v>840.6</v>
      </c>
      <c r="CF53" s="4">
        <v>857.4</v>
      </c>
      <c r="CG53" s="4">
        <v>874.6</v>
      </c>
      <c r="CH53" s="4">
        <v>892.1</v>
      </c>
      <c r="CI53" s="4">
        <v>909.9</v>
      </c>
    </row>
    <row r="54" spans="8:87" x14ac:dyDescent="0.35">
      <c r="H54" s="120" t="s">
        <v>493</v>
      </c>
      <c r="I54" s="4" t="s">
        <v>418</v>
      </c>
      <c r="J54" s="4">
        <v>59.8</v>
      </c>
      <c r="K54" s="4">
        <v>62.7</v>
      </c>
      <c r="L54" s="4">
        <v>65.400000000000006</v>
      </c>
      <c r="M54" s="4">
        <v>68.599999999999994</v>
      </c>
      <c r="N54" s="4">
        <v>70.3</v>
      </c>
      <c r="O54" s="4">
        <v>72.099999999999994</v>
      </c>
      <c r="P54" s="4">
        <v>73.900000000000006</v>
      </c>
      <c r="Q54" s="4">
        <v>75.7</v>
      </c>
      <c r="R54" s="4">
        <v>78.7</v>
      </c>
      <c r="S54" s="4">
        <v>81.900000000000006</v>
      </c>
      <c r="T54" s="4">
        <v>85.2</v>
      </c>
      <c r="U54" s="4">
        <v>88.6</v>
      </c>
      <c r="V54" s="4">
        <v>92.1</v>
      </c>
      <c r="W54" s="4">
        <v>95.8</v>
      </c>
      <c r="X54" s="4">
        <v>99.6</v>
      </c>
      <c r="Y54" s="4">
        <v>103.6</v>
      </c>
      <c r="Z54" s="4">
        <v>107.8</v>
      </c>
      <c r="AA54" s="4">
        <v>112.1</v>
      </c>
      <c r="AB54" s="4">
        <v>116.6</v>
      </c>
      <c r="AC54" s="4">
        <v>121.2</v>
      </c>
      <c r="AD54" s="4">
        <v>126.1</v>
      </c>
      <c r="AE54" s="4">
        <v>131.1</v>
      </c>
      <c r="AF54" s="4">
        <v>136.4</v>
      </c>
      <c r="AG54" s="4">
        <v>141.80000000000001</v>
      </c>
      <c r="AH54" s="4">
        <v>147.5</v>
      </c>
      <c r="AI54" s="4">
        <v>153.4</v>
      </c>
      <c r="AJ54" s="4">
        <v>159.5</v>
      </c>
      <c r="AK54" s="4">
        <v>165.9</v>
      </c>
    </row>
    <row r="55" spans="8:87" x14ac:dyDescent="0.35">
      <c r="H55" s="120" t="s">
        <v>494</v>
      </c>
      <c r="I55" s="4" t="s">
        <v>417</v>
      </c>
      <c r="J55" s="4">
        <v>147</v>
      </c>
      <c r="K55" s="4">
        <v>167.9</v>
      </c>
      <c r="L55" s="4">
        <v>191.8</v>
      </c>
      <c r="M55" s="4">
        <v>209.6</v>
      </c>
      <c r="N55" s="4">
        <v>229.1</v>
      </c>
      <c r="O55" s="4">
        <v>250.4</v>
      </c>
      <c r="P55" s="4">
        <v>273.60000000000002</v>
      </c>
      <c r="Q55" s="4">
        <v>299</v>
      </c>
      <c r="R55" s="4">
        <v>326.8</v>
      </c>
      <c r="S55" s="4">
        <v>357.2</v>
      </c>
      <c r="T55" s="4">
        <v>390.4</v>
      </c>
      <c r="U55" s="4">
        <v>426.7</v>
      </c>
      <c r="V55" s="4">
        <v>466.4</v>
      </c>
      <c r="W55" s="4">
        <v>509.8</v>
      </c>
      <c r="X55" s="4">
        <v>557.20000000000005</v>
      </c>
      <c r="Y55" s="4">
        <v>609.1</v>
      </c>
      <c r="Z55" s="4">
        <v>665.7</v>
      </c>
      <c r="AA55" s="4">
        <v>727.7</v>
      </c>
      <c r="AB55" s="4">
        <v>758.8</v>
      </c>
      <c r="AC55" s="4">
        <v>791.2</v>
      </c>
      <c r="AD55" s="4">
        <v>825</v>
      </c>
      <c r="AE55" s="4">
        <v>860.3</v>
      </c>
      <c r="AF55" s="4">
        <v>897.1</v>
      </c>
      <c r="AG55" s="4">
        <v>935.5</v>
      </c>
      <c r="AH55" s="4">
        <v>975.5</v>
      </c>
      <c r="AI55" s="4">
        <v>1017.2</v>
      </c>
      <c r="AJ55" s="4">
        <v>1060.7</v>
      </c>
      <c r="AK55" s="4">
        <v>1106</v>
      </c>
    </row>
    <row r="56" spans="8:87" x14ac:dyDescent="0.35">
      <c r="H56" s="120" t="s">
        <v>503</v>
      </c>
      <c r="I56" s="4" t="s">
        <v>539</v>
      </c>
      <c r="J56" s="4">
        <f>AVERAGE(J55,J53)</f>
        <v>121.1</v>
      </c>
      <c r="K56" s="4">
        <f>AVERAGE(K55,K53)</f>
        <v>142.75</v>
      </c>
      <c r="L56" s="4">
        <f t="shared" ref="L56:AF56" si="0">AVERAGE(L55,L53)</f>
        <v>165</v>
      </c>
      <c r="M56" s="4">
        <f t="shared" si="0"/>
        <v>184.14999999999998</v>
      </c>
      <c r="N56" s="4">
        <f t="shared" si="0"/>
        <v>204.2</v>
      </c>
      <c r="O56" s="4">
        <f t="shared" si="0"/>
        <v>225.10000000000002</v>
      </c>
      <c r="P56" s="4">
        <f t="shared" si="0"/>
        <v>247</v>
      </c>
      <c r="Q56" s="4">
        <f t="shared" si="0"/>
        <v>270</v>
      </c>
      <c r="R56" s="4">
        <f t="shared" si="0"/>
        <v>283.89999999999998</v>
      </c>
      <c r="S56" s="4">
        <f t="shared" si="0"/>
        <v>299.10000000000002</v>
      </c>
      <c r="T56" s="4">
        <f t="shared" si="0"/>
        <v>315.7</v>
      </c>
      <c r="U56" s="4">
        <f t="shared" si="0"/>
        <v>333.85</v>
      </c>
      <c r="V56" s="4">
        <f t="shared" si="0"/>
        <v>353.7</v>
      </c>
      <c r="W56" s="4">
        <f t="shared" si="0"/>
        <v>375.4</v>
      </c>
      <c r="X56" s="4">
        <f t="shared" si="0"/>
        <v>399.1</v>
      </c>
      <c r="Y56" s="4">
        <f t="shared" si="0"/>
        <v>425.05</v>
      </c>
      <c r="Z56" s="4">
        <f t="shared" si="0"/>
        <v>453.35</v>
      </c>
      <c r="AA56" s="4">
        <f t="shared" si="0"/>
        <v>484.35</v>
      </c>
      <c r="AB56" s="4">
        <f t="shared" si="0"/>
        <v>499.9</v>
      </c>
      <c r="AC56" s="4">
        <f t="shared" si="0"/>
        <v>516.1</v>
      </c>
      <c r="AD56" s="4">
        <f t="shared" si="0"/>
        <v>533</v>
      </c>
      <c r="AE56" s="4">
        <f t="shared" si="0"/>
        <v>550.65</v>
      </c>
      <c r="AF56" s="4">
        <f t="shared" si="0"/>
        <v>569.04999999999995</v>
      </c>
      <c r="AG56" s="4">
        <f>AVERAGE(AG55,AG53)</f>
        <v>588.25</v>
      </c>
      <c r="AH56" s="4">
        <f>AVERAGE(AH55,AH53)</f>
        <v>608.25</v>
      </c>
      <c r="AI56" s="4">
        <f t="shared" ref="AI56:AK56" si="1">AVERAGE(AI55,AI53)</f>
        <v>629.1</v>
      </c>
      <c r="AJ56" s="4">
        <f t="shared" si="1"/>
        <v>650.85</v>
      </c>
      <c r="AK56" s="4">
        <f t="shared" si="1"/>
        <v>673.5</v>
      </c>
    </row>
    <row r="57" spans="8:87" x14ac:dyDescent="0.35">
      <c r="H57" s="120"/>
    </row>
    <row r="58" spans="8:87" x14ac:dyDescent="0.35">
      <c r="H58" s="120" t="s">
        <v>495</v>
      </c>
      <c r="I58" s="4" t="s">
        <v>496</v>
      </c>
    </row>
    <row r="59" spans="8:87" x14ac:dyDescent="0.35">
      <c r="H59" s="120"/>
      <c r="I59" s="4" t="s">
        <v>492</v>
      </c>
      <c r="J59" s="4">
        <v>2023</v>
      </c>
      <c r="K59" s="4">
        <v>2024</v>
      </c>
      <c r="L59" s="4">
        <v>2025</v>
      </c>
      <c r="M59" s="4">
        <v>2026</v>
      </c>
      <c r="N59" s="4">
        <v>2027</v>
      </c>
      <c r="O59" s="4">
        <v>2028</v>
      </c>
      <c r="P59" s="4">
        <v>2029</v>
      </c>
      <c r="Q59" s="4">
        <v>2030</v>
      </c>
      <c r="R59" s="4">
        <v>2031</v>
      </c>
      <c r="S59" s="4">
        <v>2032</v>
      </c>
      <c r="T59" s="4">
        <v>2033</v>
      </c>
      <c r="U59" s="4">
        <v>2034</v>
      </c>
      <c r="V59" s="4">
        <v>2035</v>
      </c>
      <c r="W59" s="4">
        <v>2036</v>
      </c>
      <c r="X59" s="4">
        <v>2037</v>
      </c>
      <c r="Y59" s="4">
        <v>2038</v>
      </c>
      <c r="Z59" s="4">
        <v>2039</v>
      </c>
      <c r="AA59" s="4">
        <v>2040</v>
      </c>
      <c r="AB59" s="4">
        <v>2041</v>
      </c>
      <c r="AC59" s="4">
        <v>2042</v>
      </c>
      <c r="AD59" s="4">
        <v>2043</v>
      </c>
      <c r="AE59" s="4">
        <v>2044</v>
      </c>
      <c r="AF59" s="4">
        <v>2045</v>
      </c>
      <c r="AG59" s="4">
        <v>2046</v>
      </c>
      <c r="AH59" s="4">
        <v>2047</v>
      </c>
      <c r="AI59" s="4">
        <v>2048</v>
      </c>
      <c r="AJ59" s="4">
        <v>2049</v>
      </c>
      <c r="AK59" s="4">
        <v>2050</v>
      </c>
    </row>
    <row r="60" spans="8:87" x14ac:dyDescent="0.35">
      <c r="H60" s="120" t="s">
        <v>497</v>
      </c>
      <c r="I60" s="4" t="s">
        <v>418</v>
      </c>
      <c r="J60" s="4">
        <v>90</v>
      </c>
      <c r="K60" s="4">
        <v>97.310924369747895</v>
      </c>
      <c r="L60" s="4">
        <v>104.62184873949579</v>
      </c>
      <c r="M60" s="4">
        <v>111.93277310924368</v>
      </c>
      <c r="N60" s="4">
        <v>119.24369747899158</v>
      </c>
      <c r="O60" s="4">
        <v>126.55462184873947</v>
      </c>
      <c r="P60" s="4">
        <v>133.86554621848737</v>
      </c>
      <c r="Q60" s="4">
        <v>141.1764705882353</v>
      </c>
      <c r="R60" s="4">
        <v>142.23529411764707</v>
      </c>
      <c r="S60" s="4">
        <v>143.29411764705884</v>
      </c>
      <c r="T60" s="4">
        <v>144.35294117647061</v>
      </c>
      <c r="U60" s="4">
        <v>145.41176470588238</v>
      </c>
      <c r="V60" s="4">
        <v>146.47058823529414</v>
      </c>
      <c r="W60" s="4">
        <v>147.52941176470591</v>
      </c>
      <c r="X60" s="4">
        <v>148.58823529411768</v>
      </c>
      <c r="Y60" s="4">
        <v>149.64705882352945</v>
      </c>
      <c r="Z60" s="4">
        <v>150.70588235294122</v>
      </c>
      <c r="AA60" s="4">
        <v>151.76470588235296</v>
      </c>
      <c r="AB60" s="4">
        <v>152.47058823529414</v>
      </c>
      <c r="AC60" s="4">
        <v>153.1764705882353</v>
      </c>
      <c r="AD60" s="4">
        <v>153.88235294117646</v>
      </c>
      <c r="AE60" s="4">
        <v>154.58823529411762</v>
      </c>
      <c r="AF60" s="4">
        <v>155.29411764705878</v>
      </c>
      <c r="AG60" s="4">
        <v>155.99999999999994</v>
      </c>
      <c r="AH60" s="4">
        <v>156.7058823529411</v>
      </c>
      <c r="AI60" s="4">
        <v>157.41176470588226</v>
      </c>
      <c r="AJ60" s="4">
        <v>158.11764705882342</v>
      </c>
      <c r="AK60" s="4">
        <v>158.8235294117647</v>
      </c>
    </row>
    <row r="61" spans="8:87" x14ac:dyDescent="0.35">
      <c r="H61" s="120" t="s">
        <v>498</v>
      </c>
      <c r="I61" s="4" t="s">
        <v>416</v>
      </c>
      <c r="J61" s="4">
        <v>90</v>
      </c>
      <c r="K61" s="4">
        <v>83.865546218487395</v>
      </c>
      <c r="L61" s="4">
        <v>77.731092436974791</v>
      </c>
      <c r="M61" s="4">
        <v>71.596638655462186</v>
      </c>
      <c r="N61" s="4">
        <v>65.462184873949582</v>
      </c>
      <c r="O61" s="4">
        <v>59.327731092436977</v>
      </c>
      <c r="P61" s="4">
        <v>53.193277310924373</v>
      </c>
      <c r="Q61" s="4">
        <v>47.058823529411768</v>
      </c>
      <c r="R61" s="4">
        <v>55.294117647058826</v>
      </c>
      <c r="S61" s="4">
        <v>63.529411764705884</v>
      </c>
      <c r="T61" s="4">
        <v>71.764705882352942</v>
      </c>
      <c r="U61" s="4">
        <v>80</v>
      </c>
      <c r="V61" s="4">
        <v>88.235294117647058</v>
      </c>
      <c r="W61" s="4">
        <v>96.470588235294116</v>
      </c>
      <c r="X61" s="4">
        <v>104.70588235294117</v>
      </c>
      <c r="Y61" s="4">
        <v>112.94117647058823</v>
      </c>
      <c r="Z61" s="4">
        <v>121.17647058823529</v>
      </c>
      <c r="AA61" s="4">
        <v>129.41176470588235</v>
      </c>
      <c r="AB61" s="4">
        <v>135.29411764705881</v>
      </c>
      <c r="AC61" s="4">
        <v>141.17647058823528</v>
      </c>
      <c r="AD61" s="4">
        <v>147.05882352941174</v>
      </c>
      <c r="AE61" s="4">
        <v>152.9411764705882</v>
      </c>
      <c r="AF61" s="4">
        <v>158.82352941176467</v>
      </c>
      <c r="AG61" s="4">
        <v>164.70588235294113</v>
      </c>
      <c r="AH61" s="4">
        <v>170.5882352941176</v>
      </c>
      <c r="AI61" s="4">
        <v>176.47058823529406</v>
      </c>
      <c r="AJ61" s="4">
        <v>182.35294117647052</v>
      </c>
      <c r="AK61" s="4">
        <v>188.23529411764707</v>
      </c>
    </row>
    <row r="62" spans="8:87" x14ac:dyDescent="0.35">
      <c r="H62" s="120" t="s">
        <v>499</v>
      </c>
      <c r="I62" s="4" t="s">
        <v>417</v>
      </c>
      <c r="J62" s="4">
        <v>90</v>
      </c>
      <c r="K62" s="4">
        <v>100.67226890756302</v>
      </c>
      <c r="L62" s="4">
        <v>111.34453781512605</v>
      </c>
      <c r="M62" s="4">
        <v>122.01680672268907</v>
      </c>
      <c r="N62" s="4">
        <v>132.68907563025209</v>
      </c>
      <c r="O62" s="4">
        <v>143.36134453781511</v>
      </c>
      <c r="P62" s="4">
        <v>154.03361344537814</v>
      </c>
      <c r="Q62" s="4">
        <v>164.70588235294119</v>
      </c>
      <c r="R62" s="4">
        <v>172.35294117647061</v>
      </c>
      <c r="S62" s="4">
        <v>180.00000000000003</v>
      </c>
      <c r="T62" s="4">
        <v>187.64705882352945</v>
      </c>
      <c r="U62" s="4">
        <v>195.29411764705887</v>
      </c>
      <c r="V62" s="4">
        <v>202.94117647058829</v>
      </c>
      <c r="W62" s="4">
        <v>210.58823529411771</v>
      </c>
      <c r="X62" s="4">
        <v>218.23529411764713</v>
      </c>
      <c r="Y62" s="4">
        <v>225.88235294117655</v>
      </c>
      <c r="Z62" s="4">
        <v>233.52941176470597</v>
      </c>
      <c r="AA62" s="4">
        <v>241.1764705882353</v>
      </c>
      <c r="AB62" s="4">
        <v>246.47058823529412</v>
      </c>
      <c r="AC62" s="4">
        <v>251.76470588235293</v>
      </c>
      <c r="AD62" s="4">
        <v>257.05882352941177</v>
      </c>
      <c r="AE62" s="4">
        <v>262.35294117647061</v>
      </c>
      <c r="AF62" s="4">
        <v>267.64705882352945</v>
      </c>
      <c r="AG62" s="4">
        <v>272.94117647058829</v>
      </c>
      <c r="AH62" s="4">
        <v>278.23529411764713</v>
      </c>
      <c r="AI62" s="4">
        <v>283.52941176470597</v>
      </c>
      <c r="AJ62" s="4">
        <v>288.82352941176481</v>
      </c>
      <c r="AK62" s="4">
        <v>294.11764705882354</v>
      </c>
    </row>
    <row r="70" spans="1:37" s="71" customFormat="1" ht="31" x14ac:dyDescent="0.7">
      <c r="A70" s="71" t="s">
        <v>261</v>
      </c>
      <c r="K70" s="71" t="s">
        <v>0</v>
      </c>
    </row>
    <row r="71" spans="1:37" x14ac:dyDescent="0.35">
      <c r="B71" s="4" t="s">
        <v>398</v>
      </c>
      <c r="C71" s="72">
        <v>0.75</v>
      </c>
      <c r="D71" s="130" t="s">
        <v>401</v>
      </c>
    </row>
    <row r="72" spans="1:37" x14ac:dyDescent="0.35">
      <c r="B72" s="4" t="s">
        <v>399</v>
      </c>
      <c r="C72" s="72">
        <f>1-C71</f>
        <v>0.25</v>
      </c>
      <c r="D72" s="130" t="s">
        <v>400</v>
      </c>
    </row>
    <row r="73" spans="1:37" x14ac:dyDescent="0.35">
      <c r="A73" s="73" t="s">
        <v>1</v>
      </c>
      <c r="B73" s="86"/>
    </row>
    <row r="74" spans="1:37" ht="15" thickBot="1" x14ac:dyDescent="0.4"/>
    <row r="75" spans="1:37" x14ac:dyDescent="0.35">
      <c r="E75" s="4" t="s">
        <v>2</v>
      </c>
      <c r="H75" s="4" t="s">
        <v>3</v>
      </c>
      <c r="O75" s="4" t="s">
        <v>2</v>
      </c>
      <c r="R75" s="4" t="s">
        <v>3</v>
      </c>
      <c r="W75" s="75" t="s">
        <v>4</v>
      </c>
      <c r="X75" s="76">
        <v>2023</v>
      </c>
      <c r="Y75" s="76">
        <v>2050</v>
      </c>
      <c r="Z75" s="77" t="s">
        <v>5</v>
      </c>
      <c r="AB75" s="75" t="s">
        <v>6</v>
      </c>
      <c r="AC75" s="76">
        <v>2023</v>
      </c>
      <c r="AD75" s="76">
        <v>2050</v>
      </c>
      <c r="AE75" s="77" t="s">
        <v>5</v>
      </c>
      <c r="AG75" s="75" t="s">
        <v>7</v>
      </c>
      <c r="AH75" s="76">
        <v>2023</v>
      </c>
      <c r="AI75" s="76">
        <v>2050</v>
      </c>
      <c r="AJ75" s="77" t="s">
        <v>5</v>
      </c>
    </row>
    <row r="76" spans="1:37" x14ac:dyDescent="0.35">
      <c r="A76" s="25" t="s">
        <v>265</v>
      </c>
      <c r="B76" s="4">
        <v>2023</v>
      </c>
      <c r="C76" s="4">
        <v>2050</v>
      </c>
      <c r="D76" s="4" t="s">
        <v>5</v>
      </c>
      <c r="E76" s="4" t="s">
        <v>8</v>
      </c>
      <c r="F76" s="4" t="s">
        <v>9</v>
      </c>
      <c r="G76" s="4" t="s">
        <v>10</v>
      </c>
      <c r="I76" s="91"/>
      <c r="K76" s="25" t="s">
        <v>262</v>
      </c>
      <c r="L76" s="4">
        <v>2023</v>
      </c>
      <c r="M76" s="4">
        <v>2050</v>
      </c>
      <c r="N76" s="4" t="s">
        <v>5</v>
      </c>
      <c r="O76" s="4" t="s">
        <v>8</v>
      </c>
      <c r="P76" s="4" t="s">
        <v>9</v>
      </c>
      <c r="Q76" s="4" t="s">
        <v>10</v>
      </c>
      <c r="S76" s="91"/>
      <c r="W76" s="78" t="s">
        <v>12</v>
      </c>
      <c r="X76" s="83">
        <f>$B$4</f>
        <v>0</v>
      </c>
      <c r="Y76" s="83">
        <f>$C$4</f>
        <v>0</v>
      </c>
      <c r="Z76" s="79" t="s">
        <v>13</v>
      </c>
      <c r="AB76" s="78" t="s">
        <v>12</v>
      </c>
      <c r="AC76" s="83">
        <f>$B$4</f>
        <v>0</v>
      </c>
      <c r="AD76" s="83">
        <f>$C$4</f>
        <v>0</v>
      </c>
      <c r="AE76" s="79" t="s">
        <v>13</v>
      </c>
      <c r="AG76" s="78" t="s">
        <v>12</v>
      </c>
      <c r="AH76" s="83">
        <f>$B$4</f>
        <v>0</v>
      </c>
      <c r="AI76" s="83">
        <f>$C$4</f>
        <v>0</v>
      </c>
      <c r="AJ76" s="79" t="s">
        <v>13</v>
      </c>
    </row>
    <row r="77" spans="1:37" x14ac:dyDescent="0.35">
      <c r="A77" s="4" t="s">
        <v>14</v>
      </c>
      <c r="B77" s="4">
        <v>40000</v>
      </c>
      <c r="C77" s="4">
        <v>40000</v>
      </c>
      <c r="D77" s="4" t="s">
        <v>15</v>
      </c>
      <c r="E77" s="4">
        <v>12</v>
      </c>
      <c r="F77" s="4">
        <v>0.9</v>
      </c>
      <c r="G77" s="4">
        <v>0.4</v>
      </c>
      <c r="H77" s="116" t="s">
        <v>259</v>
      </c>
      <c r="I77" s="92" t="s">
        <v>17</v>
      </c>
      <c r="K77" s="4" t="s">
        <v>18</v>
      </c>
      <c r="L77" s="4">
        <v>105000</v>
      </c>
      <c r="M77" s="4">
        <v>115000</v>
      </c>
      <c r="N77" s="4" t="s">
        <v>15</v>
      </c>
      <c r="O77" s="4">
        <v>12</v>
      </c>
      <c r="P77" s="4">
        <v>0.9</v>
      </c>
      <c r="Q77" s="4">
        <v>0.4</v>
      </c>
      <c r="R77" s="116" t="s">
        <v>9</v>
      </c>
      <c r="S77" s="94" t="s">
        <v>19</v>
      </c>
      <c r="W77" s="78" t="s">
        <v>20</v>
      </c>
      <c r="X77" s="4">
        <v>3.17</v>
      </c>
      <c r="Y77" s="4">
        <v>3.17</v>
      </c>
      <c r="Z77" s="79" t="s">
        <v>21</v>
      </c>
      <c r="AB77" s="78" t="s">
        <v>22</v>
      </c>
      <c r="AC77" s="4">
        <v>2.1999999999999999E-2</v>
      </c>
      <c r="AD77" s="4">
        <v>0</v>
      </c>
      <c r="AE77" s="4" t="s">
        <v>23</v>
      </c>
      <c r="AG77" s="78" t="s">
        <v>22</v>
      </c>
      <c r="AH77" s="4">
        <v>2.1999999999999999E-2</v>
      </c>
      <c r="AI77" s="4">
        <v>0</v>
      </c>
      <c r="AJ77" s="4" t="s">
        <v>23</v>
      </c>
      <c r="AK77" s="4" t="s">
        <v>24</v>
      </c>
    </row>
    <row r="78" spans="1:37" x14ac:dyDescent="0.35">
      <c r="A78" s="4" t="s">
        <v>25</v>
      </c>
      <c r="B78" s="4">
        <f>-B77*0.25</f>
        <v>-10000</v>
      </c>
      <c r="C78" s="4">
        <f>-C77*0.25</f>
        <v>-10000</v>
      </c>
      <c r="D78" s="4" t="s">
        <v>15</v>
      </c>
      <c r="E78" s="4">
        <v>12</v>
      </c>
      <c r="F78" s="4">
        <v>0.9</v>
      </c>
      <c r="G78" s="4">
        <v>0.4</v>
      </c>
      <c r="H78" s="116" t="s">
        <v>26</v>
      </c>
      <c r="I78" s="93" t="s">
        <v>27</v>
      </c>
      <c r="K78" s="4" t="s">
        <v>28</v>
      </c>
      <c r="L78" s="4">
        <f>-L77*0.25</f>
        <v>-26250</v>
      </c>
      <c r="M78" s="4">
        <f>-M77*0.15</f>
        <v>-17250</v>
      </c>
      <c r="N78" s="4" t="s">
        <v>15</v>
      </c>
      <c r="O78" s="4">
        <v>12</v>
      </c>
      <c r="P78" s="4">
        <v>0.9</v>
      </c>
      <c r="Q78" s="4">
        <v>0.4</v>
      </c>
      <c r="R78" s="116" t="s">
        <v>29</v>
      </c>
      <c r="S78" s="95" t="s">
        <v>30</v>
      </c>
      <c r="W78" s="78" t="s">
        <v>31</v>
      </c>
      <c r="X78" s="4">
        <v>11.89</v>
      </c>
      <c r="Y78" s="4">
        <v>11.89</v>
      </c>
      <c r="Z78" s="79" t="s">
        <v>32</v>
      </c>
      <c r="AB78" s="78" t="s">
        <v>33</v>
      </c>
      <c r="AC78" s="72">
        <v>0.61</v>
      </c>
      <c r="AD78" s="72">
        <v>0.7</v>
      </c>
      <c r="AE78" s="79" t="s">
        <v>34</v>
      </c>
      <c r="AG78" s="78" t="s">
        <v>35</v>
      </c>
      <c r="AH78" s="72">
        <v>0.95</v>
      </c>
      <c r="AI78" s="72">
        <v>0.95</v>
      </c>
      <c r="AJ78" s="79" t="s">
        <v>34</v>
      </c>
      <c r="AK78" s="4" t="s">
        <v>36</v>
      </c>
    </row>
    <row r="79" spans="1:37" x14ac:dyDescent="0.35">
      <c r="A79" s="4" t="s">
        <v>37</v>
      </c>
      <c r="B79" s="4">
        <v>70000</v>
      </c>
      <c r="C79" s="4">
        <v>70000</v>
      </c>
      <c r="D79" s="4" t="s">
        <v>38</v>
      </c>
      <c r="E79" s="4">
        <v>12</v>
      </c>
      <c r="F79" s="4">
        <v>0.9</v>
      </c>
      <c r="G79" s="4">
        <v>0.4</v>
      </c>
      <c r="H79" s="116" t="s">
        <v>39</v>
      </c>
      <c r="I79" s="92" t="s">
        <v>40</v>
      </c>
      <c r="K79" s="4" t="s">
        <v>41</v>
      </c>
      <c r="L79" s="4">
        <v>8</v>
      </c>
      <c r="M79" s="4">
        <v>8</v>
      </c>
      <c r="N79" s="4" t="s">
        <v>42</v>
      </c>
      <c r="O79" s="4">
        <v>12</v>
      </c>
      <c r="P79" s="4">
        <v>0.9</v>
      </c>
      <c r="Q79" s="4">
        <v>0.4</v>
      </c>
      <c r="R79" s="116" t="s">
        <v>43</v>
      </c>
      <c r="S79" s="91" t="s">
        <v>44</v>
      </c>
      <c r="W79" s="78" t="s">
        <v>45</v>
      </c>
      <c r="X79" s="65">
        <f>X77/X78</f>
        <v>0.26661059714045415</v>
      </c>
      <c r="Y79" s="65">
        <f>Y77/Y78</f>
        <v>0.26661059714045415</v>
      </c>
      <c r="Z79" s="79" t="s">
        <v>46</v>
      </c>
      <c r="AB79" s="78" t="s">
        <v>47</v>
      </c>
      <c r="AC79" s="85">
        <f>AC77/AC78</f>
        <v>3.6065573770491799E-2</v>
      </c>
      <c r="AD79" s="85">
        <f>AD77/AD78</f>
        <v>0</v>
      </c>
      <c r="AE79" s="79" t="s">
        <v>46</v>
      </c>
      <c r="AG79" s="78" t="s">
        <v>22</v>
      </c>
      <c r="AH79" s="85">
        <f>AH77/AH78</f>
        <v>2.3157894736842106E-2</v>
      </c>
      <c r="AI79" s="85">
        <f>AI77/AI78</f>
        <v>0</v>
      </c>
      <c r="AJ79" s="79" t="s">
        <v>46</v>
      </c>
    </row>
    <row r="80" spans="1:37" x14ac:dyDescent="0.35">
      <c r="A80" s="4" t="s">
        <v>48</v>
      </c>
      <c r="B80" s="4">
        <v>25</v>
      </c>
      <c r="C80" s="4">
        <v>25</v>
      </c>
      <c r="D80" s="4" t="s">
        <v>49</v>
      </c>
      <c r="E80" s="4">
        <v>12</v>
      </c>
      <c r="F80" s="4">
        <v>0.9</v>
      </c>
      <c r="G80" s="4">
        <v>0.4</v>
      </c>
      <c r="H80" s="116" t="s">
        <v>50</v>
      </c>
      <c r="I80" s="92" t="s">
        <v>51</v>
      </c>
      <c r="K80" s="4" t="s">
        <v>52</v>
      </c>
      <c r="L80" s="4">
        <v>20000</v>
      </c>
      <c r="M80" s="4">
        <v>20000</v>
      </c>
      <c r="N80" s="4" t="s">
        <v>38</v>
      </c>
      <c r="O80" s="4">
        <v>12</v>
      </c>
      <c r="P80" s="4">
        <v>0.9</v>
      </c>
      <c r="Q80" s="4">
        <v>0.4</v>
      </c>
      <c r="R80" s="116" t="s">
        <v>9</v>
      </c>
      <c r="S80" s="92" t="s">
        <v>53</v>
      </c>
      <c r="W80" s="78" t="s">
        <v>54</v>
      </c>
      <c r="X80" s="4">
        <f>L81*X79</f>
        <v>0.77317073170731698</v>
      </c>
      <c r="Y80" s="4">
        <f>M81*X79</f>
        <v>0.63986543313708999</v>
      </c>
      <c r="Z80" s="79" t="s">
        <v>55</v>
      </c>
      <c r="AB80" s="78" t="s">
        <v>54</v>
      </c>
      <c r="AC80" s="4">
        <f>AC79*L105</f>
        <v>9.1245901639344248E-2</v>
      </c>
      <c r="AD80" s="4">
        <f>AD79*M105</f>
        <v>0</v>
      </c>
      <c r="AE80" s="79" t="s">
        <v>55</v>
      </c>
      <c r="AG80" s="78" t="s">
        <v>54</v>
      </c>
      <c r="AH80" s="4">
        <f>AH79*L93</f>
        <v>3.5200000000000002E-2</v>
      </c>
      <c r="AI80" s="4">
        <f>AI79*M93</f>
        <v>0</v>
      </c>
      <c r="AJ80" s="79" t="s">
        <v>55</v>
      </c>
    </row>
    <row r="81" spans="1:36" ht="15" thickBot="1" x14ac:dyDescent="0.4">
      <c r="A81" s="4" t="s">
        <v>56</v>
      </c>
      <c r="B81" s="118">
        <f>42%/C71</f>
        <v>0.55999999999999994</v>
      </c>
      <c r="C81" s="118">
        <f>42%/C71</f>
        <v>0.55999999999999994</v>
      </c>
      <c r="D81" s="4" t="s">
        <v>57</v>
      </c>
      <c r="E81" s="4">
        <v>12</v>
      </c>
      <c r="F81" s="4">
        <v>0.9</v>
      </c>
      <c r="G81" s="4">
        <v>0.4</v>
      </c>
      <c r="H81" s="116" t="s">
        <v>16</v>
      </c>
      <c r="I81" s="92" t="s">
        <v>58</v>
      </c>
      <c r="K81" s="4" t="s">
        <v>59</v>
      </c>
      <c r="L81" s="4">
        <v>2.9</v>
      </c>
      <c r="M81" s="4">
        <v>2.4</v>
      </c>
      <c r="N81" s="4" t="s">
        <v>60</v>
      </c>
      <c r="O81" s="4">
        <v>12</v>
      </c>
      <c r="P81" s="4">
        <v>0.9</v>
      </c>
      <c r="Q81" s="4">
        <v>0.4</v>
      </c>
      <c r="R81" s="116" t="s">
        <v>9</v>
      </c>
      <c r="S81" s="92" t="s">
        <v>61</v>
      </c>
      <c r="W81" s="80" t="s">
        <v>62</v>
      </c>
      <c r="X81" s="81">
        <f>X76/1000*X80</f>
        <v>0</v>
      </c>
      <c r="Y81" s="81">
        <f>Y80/1000*Y76</f>
        <v>0</v>
      </c>
      <c r="Z81" s="82" t="s">
        <v>63</v>
      </c>
      <c r="AB81" s="80" t="s">
        <v>62</v>
      </c>
      <c r="AC81" s="81">
        <f>AC76/1000*AC80</f>
        <v>0</v>
      </c>
      <c r="AD81" s="81">
        <f>AD80/1000*AD76</f>
        <v>0</v>
      </c>
      <c r="AE81" s="82" t="s">
        <v>63</v>
      </c>
      <c r="AG81" s="80" t="s">
        <v>62</v>
      </c>
      <c r="AH81" s="81">
        <f>AH76/1000*AH80</f>
        <v>0</v>
      </c>
      <c r="AI81" s="81">
        <f>AI80/1000*AI76</f>
        <v>0</v>
      </c>
      <c r="AJ81" s="82" t="s">
        <v>63</v>
      </c>
    </row>
    <row r="82" spans="1:36" x14ac:dyDescent="0.35">
      <c r="A82" s="4" t="s">
        <v>64</v>
      </c>
      <c r="B82" s="4">
        <v>55000</v>
      </c>
      <c r="C82" s="4">
        <v>55000</v>
      </c>
      <c r="D82" s="4" t="s">
        <v>65</v>
      </c>
      <c r="E82" s="4">
        <v>12</v>
      </c>
      <c r="F82" s="4">
        <v>0.9</v>
      </c>
      <c r="G82" s="4">
        <v>0.4</v>
      </c>
      <c r="H82" s="116" t="s">
        <v>16</v>
      </c>
      <c r="I82" s="92" t="s">
        <v>66</v>
      </c>
      <c r="K82" s="4" t="s">
        <v>67</v>
      </c>
      <c r="L82" s="4">
        <f>B5</f>
        <v>0.1</v>
      </c>
      <c r="M82" s="4">
        <f>C5</f>
        <v>0.1</v>
      </c>
      <c r="N82" s="4" t="s">
        <v>68</v>
      </c>
      <c r="O82" s="4">
        <f>E5</f>
        <v>12</v>
      </c>
      <c r="P82" s="4">
        <f>F5</f>
        <v>0.9</v>
      </c>
      <c r="Q82" s="4">
        <f>G5</f>
        <v>0.4</v>
      </c>
      <c r="R82" s="116" t="s">
        <v>249</v>
      </c>
      <c r="S82" s="98" t="s">
        <v>251</v>
      </c>
    </row>
    <row r="83" spans="1:36" x14ac:dyDescent="0.35">
      <c r="A83" s="4" t="s">
        <v>70</v>
      </c>
      <c r="B83" s="4">
        <v>10</v>
      </c>
      <c r="C83" s="4">
        <v>10</v>
      </c>
      <c r="D83" s="4" t="s">
        <v>42</v>
      </c>
      <c r="E83" s="4">
        <v>12</v>
      </c>
      <c r="F83" s="4">
        <v>0.9</v>
      </c>
      <c r="G83" s="4">
        <v>0.4</v>
      </c>
      <c r="H83" s="116" t="s">
        <v>71</v>
      </c>
      <c r="I83" s="92" t="s">
        <v>72</v>
      </c>
      <c r="K83" s="4" t="s">
        <v>73</v>
      </c>
      <c r="L83" s="118">
        <v>0</v>
      </c>
      <c r="M83" s="118">
        <v>0</v>
      </c>
      <c r="N83" s="4" t="s">
        <v>57</v>
      </c>
      <c r="O83" s="4">
        <v>12</v>
      </c>
      <c r="P83" s="4">
        <v>0.9</v>
      </c>
      <c r="Q83" s="4">
        <v>0.4</v>
      </c>
      <c r="R83" s="116" t="s">
        <v>50</v>
      </c>
      <c r="S83" s="92" t="s">
        <v>74</v>
      </c>
    </row>
    <row r="84" spans="1:36" x14ac:dyDescent="0.35">
      <c r="A84" s="4" t="s">
        <v>260</v>
      </c>
      <c r="B84" s="4">
        <v>0.11</v>
      </c>
      <c r="C84" s="4">
        <v>0.11</v>
      </c>
      <c r="D84" s="4" t="s">
        <v>76</v>
      </c>
      <c r="E84" s="4">
        <v>12</v>
      </c>
      <c r="F84" s="4">
        <v>0.9</v>
      </c>
      <c r="G84" s="4">
        <v>0.4</v>
      </c>
      <c r="H84" s="116" t="s">
        <v>77</v>
      </c>
      <c r="I84" s="92" t="s">
        <v>78</v>
      </c>
      <c r="K84" s="4" t="s">
        <v>79</v>
      </c>
      <c r="L84" s="118">
        <v>0.06</v>
      </c>
      <c r="M84" s="118">
        <v>0.06</v>
      </c>
      <c r="N84" s="4" t="s">
        <v>57</v>
      </c>
      <c r="O84" s="4">
        <v>12</v>
      </c>
      <c r="P84" s="4">
        <v>0.9</v>
      </c>
      <c r="Q84" s="4">
        <v>0.4</v>
      </c>
      <c r="R84" s="116" t="s">
        <v>77</v>
      </c>
      <c r="S84" s="96" t="s">
        <v>74</v>
      </c>
      <c r="W84" s="4" t="s">
        <v>26</v>
      </c>
      <c r="X84" s="4" t="s">
        <v>80</v>
      </c>
    </row>
    <row r="85" spans="1:36" x14ac:dyDescent="0.35">
      <c r="I85" s="92"/>
      <c r="K85" s="4" t="s">
        <v>540</v>
      </c>
      <c r="L85" s="4">
        <f>X81</f>
        <v>0</v>
      </c>
      <c r="M85" s="4">
        <f>Y81</f>
        <v>0</v>
      </c>
      <c r="N85" s="4" t="s">
        <v>76</v>
      </c>
      <c r="O85" s="4">
        <v>17</v>
      </c>
      <c r="P85" s="4">
        <f>$F$4</f>
        <v>0.9</v>
      </c>
      <c r="Q85" s="4">
        <f>$G$4</f>
        <v>0.4</v>
      </c>
      <c r="R85" s="116" t="s">
        <v>252</v>
      </c>
      <c r="S85" s="92" t="s">
        <v>82</v>
      </c>
      <c r="W85" s="4" t="s">
        <v>9</v>
      </c>
      <c r="X85" s="4" t="s">
        <v>83</v>
      </c>
    </row>
    <row r="86" spans="1:36" x14ac:dyDescent="0.35">
      <c r="I86" s="92"/>
      <c r="S86" s="92"/>
      <c r="W86" s="4" t="s">
        <v>16</v>
      </c>
      <c r="X86" s="4" t="s">
        <v>84</v>
      </c>
    </row>
    <row r="87" spans="1:36" x14ac:dyDescent="0.35">
      <c r="E87" s="4" t="s">
        <v>2</v>
      </c>
      <c r="H87" s="4" t="s">
        <v>3</v>
      </c>
      <c r="I87" s="92"/>
      <c r="O87" s="4" t="s">
        <v>2</v>
      </c>
      <c r="R87" s="4" t="s">
        <v>3</v>
      </c>
      <c r="S87" s="92"/>
      <c r="W87" s="4" t="s">
        <v>43</v>
      </c>
      <c r="X87" s="4" t="s">
        <v>85</v>
      </c>
    </row>
    <row r="88" spans="1:36" x14ac:dyDescent="0.35">
      <c r="A88" s="25" t="s">
        <v>266</v>
      </c>
      <c r="B88" s="4">
        <v>2023</v>
      </c>
      <c r="C88" s="4">
        <v>2050</v>
      </c>
      <c r="D88" s="4" t="s">
        <v>5</v>
      </c>
      <c r="E88" s="4" t="s">
        <v>8</v>
      </c>
      <c r="F88" s="4" t="s">
        <v>9</v>
      </c>
      <c r="G88" s="4" t="s">
        <v>10</v>
      </c>
      <c r="I88" s="92"/>
      <c r="K88" s="25" t="s">
        <v>263</v>
      </c>
      <c r="L88" s="4">
        <v>2023</v>
      </c>
      <c r="M88" s="4">
        <v>2050</v>
      </c>
      <c r="N88" s="4" t="s">
        <v>5</v>
      </c>
      <c r="O88" s="4" t="s">
        <v>8</v>
      </c>
      <c r="P88" s="4" t="s">
        <v>9</v>
      </c>
      <c r="Q88" s="4" t="s">
        <v>10</v>
      </c>
      <c r="S88" s="92"/>
      <c r="W88" s="4" t="s">
        <v>77</v>
      </c>
      <c r="X88" s="4" t="s">
        <v>87</v>
      </c>
    </row>
    <row r="89" spans="1:36" x14ac:dyDescent="0.35">
      <c r="A89" s="4" t="s">
        <v>14</v>
      </c>
      <c r="B89" s="4">
        <v>60000</v>
      </c>
      <c r="C89" s="4">
        <v>60000</v>
      </c>
      <c r="D89" s="4" t="s">
        <v>15</v>
      </c>
      <c r="E89" s="4">
        <v>12</v>
      </c>
      <c r="F89" s="4">
        <v>0.9</v>
      </c>
      <c r="G89" s="4">
        <v>0.4</v>
      </c>
      <c r="H89" s="116" t="s">
        <v>259</v>
      </c>
      <c r="I89" s="92" t="s">
        <v>17</v>
      </c>
      <c r="K89" s="4" t="s">
        <v>18</v>
      </c>
      <c r="L89" s="4">
        <v>400000</v>
      </c>
      <c r="M89" s="4">
        <v>145000</v>
      </c>
      <c r="N89" s="4" t="s">
        <v>15</v>
      </c>
      <c r="O89" s="4">
        <v>8</v>
      </c>
      <c r="P89" s="4">
        <v>0.9</v>
      </c>
      <c r="Q89" s="4">
        <v>0.4</v>
      </c>
      <c r="R89" s="116" t="s">
        <v>9</v>
      </c>
      <c r="S89" s="92" t="s">
        <v>88</v>
      </c>
      <c r="W89" s="4" t="s">
        <v>71</v>
      </c>
      <c r="X89" s="4" t="s">
        <v>89</v>
      </c>
    </row>
    <row r="90" spans="1:36" x14ac:dyDescent="0.35">
      <c r="A90" s="4" t="s">
        <v>25</v>
      </c>
      <c r="B90" s="4">
        <f>-B89*0.25</f>
        <v>-15000</v>
      </c>
      <c r="C90" s="4">
        <f>-C89*0.25</f>
        <v>-15000</v>
      </c>
      <c r="D90" s="4" t="s">
        <v>15</v>
      </c>
      <c r="E90" s="4">
        <v>12</v>
      </c>
      <c r="F90" s="4">
        <v>0.9</v>
      </c>
      <c r="G90" s="4">
        <v>0.4</v>
      </c>
      <c r="H90" s="116" t="s">
        <v>26</v>
      </c>
      <c r="I90" s="93" t="s">
        <v>27</v>
      </c>
      <c r="K90" s="4" t="s">
        <v>28</v>
      </c>
      <c r="L90" s="4">
        <f>-L89*0.15</f>
        <v>-60000</v>
      </c>
      <c r="M90" s="4">
        <f>-M89*0.25</f>
        <v>-36250</v>
      </c>
      <c r="N90" s="4" t="s">
        <v>15</v>
      </c>
      <c r="O90" s="4">
        <v>8</v>
      </c>
      <c r="P90" s="4">
        <v>0.9</v>
      </c>
      <c r="Q90" s="4">
        <v>0.4</v>
      </c>
      <c r="R90" s="116" t="s">
        <v>29</v>
      </c>
      <c r="S90" s="95" t="s">
        <v>90</v>
      </c>
      <c r="W90" s="4" t="s">
        <v>50</v>
      </c>
      <c r="X90" s="4" t="s">
        <v>91</v>
      </c>
    </row>
    <row r="91" spans="1:36" x14ac:dyDescent="0.35">
      <c r="A91" s="4" t="s">
        <v>37</v>
      </c>
      <c r="B91" s="4">
        <v>70000</v>
      </c>
      <c r="C91" s="4">
        <v>70000</v>
      </c>
      <c r="D91" s="4" t="s">
        <v>38</v>
      </c>
      <c r="E91" s="4">
        <v>12</v>
      </c>
      <c r="F91" s="4">
        <v>0.9</v>
      </c>
      <c r="G91" s="4">
        <v>0.4</v>
      </c>
      <c r="H91" s="116" t="s">
        <v>39</v>
      </c>
      <c r="I91" s="92" t="s">
        <v>40</v>
      </c>
      <c r="K91" s="4" t="s">
        <v>41</v>
      </c>
      <c r="L91" s="4">
        <v>8</v>
      </c>
      <c r="M91" s="4">
        <v>8</v>
      </c>
      <c r="N91" s="4" t="s">
        <v>42</v>
      </c>
      <c r="O91" s="4">
        <v>8</v>
      </c>
      <c r="P91" s="4">
        <v>0.9</v>
      </c>
      <c r="Q91" s="4">
        <v>0.4</v>
      </c>
      <c r="R91" s="116" t="s">
        <v>43</v>
      </c>
      <c r="S91" s="91" t="s">
        <v>44</v>
      </c>
      <c r="W91" s="4" t="s">
        <v>81</v>
      </c>
      <c r="X91" s="4" t="s">
        <v>92</v>
      </c>
    </row>
    <row r="92" spans="1:36" x14ac:dyDescent="0.35">
      <c r="A92" s="4" t="s">
        <v>48</v>
      </c>
      <c r="B92" s="4">
        <v>25</v>
      </c>
      <c r="C92" s="4">
        <v>25</v>
      </c>
      <c r="D92" s="4" t="s">
        <v>49</v>
      </c>
      <c r="E92" s="4">
        <v>12</v>
      </c>
      <c r="F92" s="4">
        <v>0.9</v>
      </c>
      <c r="G92" s="4">
        <v>0.4</v>
      </c>
      <c r="H92" s="116" t="s">
        <v>50</v>
      </c>
      <c r="I92" s="92" t="s">
        <v>51</v>
      </c>
      <c r="K92" s="4" t="s">
        <v>52</v>
      </c>
      <c r="L92" s="4">
        <v>15000</v>
      </c>
      <c r="M92" s="4">
        <v>15000</v>
      </c>
      <c r="N92" s="4" t="s">
        <v>38</v>
      </c>
      <c r="O92" s="4">
        <v>8</v>
      </c>
      <c r="P92" s="4">
        <v>0.9</v>
      </c>
      <c r="Q92" s="4">
        <v>0.4</v>
      </c>
      <c r="R92" s="116" t="s">
        <v>9</v>
      </c>
      <c r="S92" s="92" t="s">
        <v>93</v>
      </c>
      <c r="W92" s="4" t="s">
        <v>94</v>
      </c>
      <c r="X92" s="86" t="s">
        <v>24</v>
      </c>
      <c r="AI92" s="25"/>
    </row>
    <row r="93" spans="1:36" x14ac:dyDescent="0.35">
      <c r="A93" s="4" t="s">
        <v>56</v>
      </c>
      <c r="B93" s="118">
        <f>48%/C71</f>
        <v>0.64</v>
      </c>
      <c r="C93" s="118">
        <f>48%/C71</f>
        <v>0.64</v>
      </c>
      <c r="D93" s="4" t="s">
        <v>57</v>
      </c>
      <c r="E93" s="4">
        <v>12</v>
      </c>
      <c r="F93" s="4">
        <v>0.9</v>
      </c>
      <c r="G93" s="4">
        <v>0.4</v>
      </c>
      <c r="H93" s="116" t="s">
        <v>16</v>
      </c>
      <c r="I93" s="92" t="s">
        <v>95</v>
      </c>
      <c r="K93" s="4" t="s">
        <v>59</v>
      </c>
      <c r="L93" s="4">
        <v>1.52</v>
      </c>
      <c r="M93" s="4">
        <v>1.1499999999999999</v>
      </c>
      <c r="N93" s="4" t="s">
        <v>60</v>
      </c>
      <c r="O93" s="4">
        <v>8</v>
      </c>
      <c r="P93" s="4">
        <v>0.9</v>
      </c>
      <c r="Q93" s="4">
        <v>0.4</v>
      </c>
      <c r="R93" s="116" t="s">
        <v>9</v>
      </c>
      <c r="S93" s="92" t="s">
        <v>74</v>
      </c>
      <c r="W93" s="4" t="s">
        <v>96</v>
      </c>
      <c r="X93" s="4" t="s">
        <v>36</v>
      </c>
    </row>
    <row r="94" spans="1:36" x14ac:dyDescent="0.35">
      <c r="A94" s="4" t="s">
        <v>64</v>
      </c>
      <c r="B94" s="4">
        <v>110000</v>
      </c>
      <c r="C94" s="4">
        <v>110000</v>
      </c>
      <c r="D94" s="4" t="s">
        <v>65</v>
      </c>
      <c r="E94" s="4">
        <v>12</v>
      </c>
      <c r="F94" s="4">
        <v>0.9</v>
      </c>
      <c r="G94" s="4">
        <v>0.4</v>
      </c>
      <c r="H94" s="116" t="s">
        <v>16</v>
      </c>
      <c r="I94" s="92" t="s">
        <v>97</v>
      </c>
      <c r="K94" s="4" t="s">
        <v>67</v>
      </c>
      <c r="L94" s="65">
        <f t="shared" ref="L94:Q94" si="2">B8</f>
        <v>0.13371034051801745</v>
      </c>
      <c r="M94" s="65">
        <f t="shared" si="2"/>
        <v>8.7585019329602734E-2</v>
      </c>
      <c r="N94" s="65" t="str">
        <f t="shared" si="2"/>
        <v>[€/kWh]</v>
      </c>
      <c r="O94" s="65">
        <f t="shared" si="2"/>
        <v>12</v>
      </c>
      <c r="P94" s="65">
        <f t="shared" si="2"/>
        <v>0.9</v>
      </c>
      <c r="Q94" s="65">
        <f t="shared" si="2"/>
        <v>0.4</v>
      </c>
      <c r="R94" s="116" t="s">
        <v>77</v>
      </c>
      <c r="S94" s="92" t="s">
        <v>287</v>
      </c>
      <c r="W94" s="4" t="s">
        <v>69</v>
      </c>
      <c r="X94" s="4" t="s">
        <v>98</v>
      </c>
    </row>
    <row r="95" spans="1:36" x14ac:dyDescent="0.35">
      <c r="A95" s="4" t="s">
        <v>70</v>
      </c>
      <c r="B95" s="4">
        <v>10</v>
      </c>
      <c r="C95" s="4">
        <v>10</v>
      </c>
      <c r="D95" s="4" t="s">
        <v>42</v>
      </c>
      <c r="E95" s="4">
        <v>12</v>
      </c>
      <c r="F95" s="4">
        <v>0.9</v>
      </c>
      <c r="G95" s="4">
        <v>0.4</v>
      </c>
      <c r="H95" s="116" t="s">
        <v>71</v>
      </c>
      <c r="I95" s="92" t="s">
        <v>72</v>
      </c>
      <c r="K95" s="4" t="s">
        <v>73</v>
      </c>
      <c r="L95" s="118">
        <v>0.1</v>
      </c>
      <c r="M95" s="118">
        <v>0.05</v>
      </c>
      <c r="N95" s="4" t="s">
        <v>57</v>
      </c>
      <c r="O95" s="4">
        <v>12</v>
      </c>
      <c r="P95" s="4">
        <v>0.9</v>
      </c>
      <c r="Q95" s="4">
        <v>0.4</v>
      </c>
      <c r="R95" s="116" t="s">
        <v>255</v>
      </c>
      <c r="S95" s="92" t="s">
        <v>99</v>
      </c>
      <c r="W95" s="4" t="s">
        <v>10</v>
      </c>
      <c r="X95" s="4" t="s">
        <v>100</v>
      </c>
    </row>
    <row r="96" spans="1:36" x14ac:dyDescent="0.35">
      <c r="A96" s="4" t="s">
        <v>260</v>
      </c>
      <c r="B96" s="4">
        <v>0.11</v>
      </c>
      <c r="C96" s="4">
        <v>0.11</v>
      </c>
      <c r="D96" s="4" t="s">
        <v>76</v>
      </c>
      <c r="E96" s="4">
        <v>12</v>
      </c>
      <c r="F96" s="4">
        <v>0.9</v>
      </c>
      <c r="G96" s="4">
        <v>0.4</v>
      </c>
      <c r="H96" s="116" t="s">
        <v>77</v>
      </c>
      <c r="I96" s="92" t="s">
        <v>78</v>
      </c>
      <c r="K96" s="4" t="s">
        <v>79</v>
      </c>
      <c r="L96" s="118">
        <v>0.06</v>
      </c>
      <c r="M96" s="118">
        <v>0.06</v>
      </c>
      <c r="N96" s="4" t="s">
        <v>57</v>
      </c>
      <c r="O96" s="4">
        <v>12</v>
      </c>
      <c r="P96" s="4">
        <v>0.9</v>
      </c>
      <c r="Q96" s="4">
        <v>0.4</v>
      </c>
      <c r="R96" s="116" t="s">
        <v>77</v>
      </c>
      <c r="S96" s="96" t="s">
        <v>74</v>
      </c>
      <c r="W96" s="4" t="s">
        <v>249</v>
      </c>
      <c r="X96" s="4" t="s">
        <v>250</v>
      </c>
    </row>
    <row r="97" spans="1:24" x14ac:dyDescent="0.35">
      <c r="I97" s="92"/>
      <c r="K97" s="4" t="s">
        <v>540</v>
      </c>
      <c r="L97" s="4">
        <f>AH81</f>
        <v>0</v>
      </c>
      <c r="M97" s="4">
        <f>AI81</f>
        <v>0</v>
      </c>
      <c r="N97" s="4" t="s">
        <v>76</v>
      </c>
      <c r="O97" s="4">
        <f>$E$4</f>
        <v>17</v>
      </c>
      <c r="P97" s="4">
        <f>$F$4</f>
        <v>0.9</v>
      </c>
      <c r="Q97" s="4">
        <f>$G$4</f>
        <v>0.4</v>
      </c>
      <c r="R97" s="116" t="s">
        <v>315</v>
      </c>
      <c r="S97" s="92" t="s">
        <v>101</v>
      </c>
      <c r="W97" s="4" t="s">
        <v>253</v>
      </c>
      <c r="X97" s="4" t="s">
        <v>254</v>
      </c>
    </row>
    <row r="98" spans="1:24" x14ac:dyDescent="0.35">
      <c r="I98" s="92"/>
      <c r="S98" s="92"/>
      <c r="W98" s="4" t="s">
        <v>258</v>
      </c>
      <c r="X98" s="4" t="s">
        <v>257</v>
      </c>
    </row>
    <row r="99" spans="1:24" x14ac:dyDescent="0.35">
      <c r="I99" s="92"/>
      <c r="O99" s="4" t="s">
        <v>2</v>
      </c>
      <c r="R99" s="4" t="s">
        <v>3</v>
      </c>
      <c r="S99" s="92"/>
    </row>
    <row r="100" spans="1:24" x14ac:dyDescent="0.35">
      <c r="E100" s="4" t="s">
        <v>2</v>
      </c>
      <c r="H100" s="4" t="s">
        <v>3</v>
      </c>
      <c r="I100" s="92"/>
      <c r="K100" s="25" t="s">
        <v>264</v>
      </c>
      <c r="L100" s="4">
        <v>2023</v>
      </c>
      <c r="M100" s="4">
        <v>2050</v>
      </c>
      <c r="N100" s="4" t="s">
        <v>5</v>
      </c>
      <c r="O100" s="4" t="s">
        <v>8</v>
      </c>
      <c r="P100" s="4" t="s">
        <v>9</v>
      </c>
      <c r="Q100" s="4" t="s">
        <v>10</v>
      </c>
      <c r="S100" s="92"/>
    </row>
    <row r="101" spans="1:24" x14ac:dyDescent="0.35">
      <c r="A101" s="25" t="s">
        <v>267</v>
      </c>
      <c r="B101" s="4">
        <v>2023</v>
      </c>
      <c r="C101" s="4">
        <v>2050</v>
      </c>
      <c r="D101" s="4" t="s">
        <v>5</v>
      </c>
      <c r="E101" s="4" t="s">
        <v>8</v>
      </c>
      <c r="F101" s="4" t="s">
        <v>9</v>
      </c>
      <c r="G101" s="4" t="s">
        <v>10</v>
      </c>
      <c r="I101" s="92"/>
      <c r="K101" s="4" t="s">
        <v>18</v>
      </c>
      <c r="L101" s="4">
        <v>390000</v>
      </c>
      <c r="M101" s="4">
        <v>155000</v>
      </c>
      <c r="N101" s="4" t="s">
        <v>15</v>
      </c>
      <c r="O101" s="4">
        <v>9</v>
      </c>
      <c r="P101" s="4">
        <v>0.9</v>
      </c>
      <c r="Q101" s="4">
        <v>0.4</v>
      </c>
      <c r="R101" s="116" t="s">
        <v>9</v>
      </c>
      <c r="S101" s="92" t="s">
        <v>103</v>
      </c>
    </row>
    <row r="102" spans="1:24" x14ac:dyDescent="0.35">
      <c r="A102" s="4" t="s">
        <v>14</v>
      </c>
      <c r="B102" s="4">
        <v>30000</v>
      </c>
      <c r="C102" s="4">
        <v>30000</v>
      </c>
      <c r="D102" s="4" t="s">
        <v>15</v>
      </c>
      <c r="E102" s="4">
        <v>12</v>
      </c>
      <c r="F102" s="4">
        <v>0.9</v>
      </c>
      <c r="G102" s="4">
        <v>0.4</v>
      </c>
      <c r="H102" s="116" t="s">
        <v>259</v>
      </c>
      <c r="I102" s="92" t="s">
        <v>17</v>
      </c>
      <c r="K102" s="4" t="s">
        <v>28</v>
      </c>
      <c r="L102" s="4">
        <f>-L101*0.15</f>
        <v>-58500</v>
      </c>
      <c r="M102" s="4">
        <f>-M101*0.25</f>
        <v>-38750</v>
      </c>
      <c r="N102" s="4" t="s">
        <v>15</v>
      </c>
      <c r="O102" s="4">
        <v>9</v>
      </c>
      <c r="P102" s="4">
        <v>0.9</v>
      </c>
      <c r="Q102" s="4">
        <v>0.4</v>
      </c>
      <c r="R102" s="116" t="s">
        <v>29</v>
      </c>
      <c r="S102" s="95" t="s">
        <v>90</v>
      </c>
    </row>
    <row r="103" spans="1:24" x14ac:dyDescent="0.35">
      <c r="A103" s="4" t="s">
        <v>25</v>
      </c>
      <c r="B103" s="4">
        <f>-B102*0.25</f>
        <v>-7500</v>
      </c>
      <c r="C103" s="4">
        <f>-C102*0.25</f>
        <v>-7500</v>
      </c>
      <c r="D103" s="4" t="s">
        <v>15</v>
      </c>
      <c r="E103" s="4">
        <v>12</v>
      </c>
      <c r="F103" s="4">
        <v>0.9</v>
      </c>
      <c r="G103" s="4">
        <v>0.4</v>
      </c>
      <c r="H103" s="116" t="s">
        <v>26</v>
      </c>
      <c r="I103" s="93" t="s">
        <v>27</v>
      </c>
      <c r="K103" s="4" t="s">
        <v>41</v>
      </c>
      <c r="L103" s="4">
        <v>8</v>
      </c>
      <c r="M103" s="4">
        <v>8</v>
      </c>
      <c r="N103" s="4" t="s">
        <v>42</v>
      </c>
      <c r="O103" s="4">
        <v>9</v>
      </c>
      <c r="P103" s="4">
        <v>0.9</v>
      </c>
      <c r="Q103" s="4">
        <v>0.4</v>
      </c>
      <c r="R103" s="116" t="s">
        <v>43</v>
      </c>
      <c r="S103" s="91" t="s">
        <v>44</v>
      </c>
    </row>
    <row r="104" spans="1:24" x14ac:dyDescent="0.35">
      <c r="A104" s="4" t="s">
        <v>37</v>
      </c>
      <c r="B104" s="4">
        <v>70000</v>
      </c>
      <c r="C104" s="4">
        <v>70000</v>
      </c>
      <c r="D104" s="4" t="s">
        <v>38</v>
      </c>
      <c r="E104" s="4">
        <v>12</v>
      </c>
      <c r="F104" s="4">
        <v>0.9</v>
      </c>
      <c r="G104" s="4">
        <v>0.4</v>
      </c>
      <c r="H104" s="116" t="s">
        <v>39</v>
      </c>
      <c r="I104" s="92" t="s">
        <v>40</v>
      </c>
      <c r="K104" s="4" t="s">
        <v>52</v>
      </c>
      <c r="L104" s="4">
        <v>26000</v>
      </c>
      <c r="M104" s="4">
        <v>18000</v>
      </c>
      <c r="N104" s="4" t="s">
        <v>38</v>
      </c>
      <c r="O104" s="4">
        <v>9</v>
      </c>
      <c r="P104" s="4">
        <v>0.9</v>
      </c>
      <c r="Q104" s="4">
        <v>0.4</v>
      </c>
      <c r="R104" s="116" t="s">
        <v>9</v>
      </c>
      <c r="S104" s="92" t="s">
        <v>104</v>
      </c>
    </row>
    <row r="105" spans="1:24" x14ac:dyDescent="0.35">
      <c r="A105" s="4" t="s">
        <v>48</v>
      </c>
      <c r="B105" s="4">
        <v>25</v>
      </c>
      <c r="C105" s="4">
        <v>25</v>
      </c>
      <c r="D105" s="4" t="s">
        <v>49</v>
      </c>
      <c r="E105" s="4">
        <v>12</v>
      </c>
      <c r="F105" s="4">
        <v>0.9</v>
      </c>
      <c r="G105" s="4">
        <v>0.4</v>
      </c>
      <c r="H105" s="116" t="s">
        <v>50</v>
      </c>
      <c r="I105" s="92" t="s">
        <v>51</v>
      </c>
      <c r="K105" s="4" t="s">
        <v>59</v>
      </c>
      <c r="L105" s="4">
        <v>2.5299999999999998</v>
      </c>
      <c r="M105" s="4">
        <v>1.79</v>
      </c>
      <c r="N105" s="4" t="s">
        <v>60</v>
      </c>
      <c r="O105" s="4">
        <v>9</v>
      </c>
      <c r="P105" s="4">
        <v>0.9</v>
      </c>
      <c r="Q105" s="4">
        <v>0.4</v>
      </c>
      <c r="R105" s="116" t="s">
        <v>9</v>
      </c>
      <c r="S105" s="92" t="s">
        <v>105</v>
      </c>
    </row>
    <row r="106" spans="1:24" x14ac:dyDescent="0.35">
      <c r="A106" s="4" t="s">
        <v>56</v>
      </c>
      <c r="B106" s="118">
        <f>46%/C71</f>
        <v>0.6133333333333334</v>
      </c>
      <c r="C106" s="118">
        <f>46%/C71</f>
        <v>0.6133333333333334</v>
      </c>
      <c r="D106" s="4" t="s">
        <v>57</v>
      </c>
      <c r="E106" s="4">
        <v>12</v>
      </c>
      <c r="F106" s="4">
        <v>0.9</v>
      </c>
      <c r="G106" s="4">
        <v>0.4</v>
      </c>
      <c r="H106" s="116" t="s">
        <v>16</v>
      </c>
      <c r="I106" s="92" t="s">
        <v>106</v>
      </c>
      <c r="K106" s="4" t="s">
        <v>67</v>
      </c>
      <c r="L106" s="65">
        <f t="shared" ref="L106:Q106" si="3">B9</f>
        <v>0.2544561408768215</v>
      </c>
      <c r="M106" s="65">
        <f t="shared" si="3"/>
        <v>0.10949010032952979</v>
      </c>
      <c r="N106" s="65" t="str">
        <f t="shared" si="3"/>
        <v>[€/kWh]</v>
      </c>
      <c r="O106" s="65">
        <f t="shared" si="3"/>
        <v>12</v>
      </c>
      <c r="P106" s="65">
        <f t="shared" si="3"/>
        <v>0.9</v>
      </c>
      <c r="Q106" s="65">
        <f t="shared" si="3"/>
        <v>0.4</v>
      </c>
      <c r="R106" s="116" t="s">
        <v>77</v>
      </c>
      <c r="S106" s="92" t="s">
        <v>286</v>
      </c>
    </row>
    <row r="107" spans="1:24" x14ac:dyDescent="0.35">
      <c r="A107" s="4" t="s">
        <v>64</v>
      </c>
      <c r="B107" s="4">
        <v>105000</v>
      </c>
      <c r="C107" s="4">
        <v>105000</v>
      </c>
      <c r="D107" s="4" t="s">
        <v>65</v>
      </c>
      <c r="E107" s="4">
        <v>12</v>
      </c>
      <c r="F107" s="4">
        <v>0.9</v>
      </c>
      <c r="G107" s="4">
        <v>0.4</v>
      </c>
      <c r="H107" s="116" t="s">
        <v>16</v>
      </c>
      <c r="I107" s="92" t="s">
        <v>107</v>
      </c>
      <c r="K107" s="4" t="s">
        <v>73</v>
      </c>
      <c r="L107" s="118">
        <v>0.05</v>
      </c>
      <c r="M107" s="118">
        <v>0.02</v>
      </c>
      <c r="N107" s="4" t="s">
        <v>57</v>
      </c>
      <c r="O107" s="4">
        <v>12</v>
      </c>
      <c r="P107" s="4">
        <v>0.9</v>
      </c>
      <c r="Q107" s="4">
        <v>0.4</v>
      </c>
      <c r="R107" s="116" t="s">
        <v>50</v>
      </c>
      <c r="S107" s="92" t="s">
        <v>256</v>
      </c>
    </row>
    <row r="108" spans="1:24" x14ac:dyDescent="0.35">
      <c r="A108" s="4" t="s">
        <v>70</v>
      </c>
      <c r="B108" s="4">
        <v>10</v>
      </c>
      <c r="C108" s="4">
        <v>10</v>
      </c>
      <c r="D108" s="4" t="s">
        <v>42</v>
      </c>
      <c r="E108" s="4">
        <v>12</v>
      </c>
      <c r="F108" s="4">
        <v>0.9</v>
      </c>
      <c r="G108" s="4">
        <v>0.4</v>
      </c>
      <c r="H108" s="116" t="s">
        <v>71</v>
      </c>
      <c r="I108" s="92" t="s">
        <v>72</v>
      </c>
      <c r="K108" s="4" t="s">
        <v>79</v>
      </c>
      <c r="L108" s="118">
        <v>0.06</v>
      </c>
      <c r="M108" s="118">
        <v>0.06</v>
      </c>
      <c r="N108" s="4" t="s">
        <v>57</v>
      </c>
      <c r="O108" s="4">
        <v>12</v>
      </c>
      <c r="P108" s="4">
        <v>0.9</v>
      </c>
      <c r="Q108" s="4">
        <v>0.4</v>
      </c>
      <c r="R108" s="116" t="s">
        <v>77</v>
      </c>
      <c r="S108" s="96" t="s">
        <v>74</v>
      </c>
    </row>
    <row r="109" spans="1:24" x14ac:dyDescent="0.35">
      <c r="A109" s="4" t="s">
        <v>260</v>
      </c>
      <c r="B109" s="4">
        <v>0.11</v>
      </c>
      <c r="C109" s="4">
        <v>0.11</v>
      </c>
      <c r="D109" s="4" t="s">
        <v>76</v>
      </c>
      <c r="E109" s="4">
        <v>12</v>
      </c>
      <c r="F109" s="4">
        <v>0.9</v>
      </c>
      <c r="G109" s="4">
        <v>0.4</v>
      </c>
      <c r="H109" s="116" t="s">
        <v>77</v>
      </c>
      <c r="I109" s="92" t="s">
        <v>78</v>
      </c>
      <c r="K109" s="4" t="s">
        <v>540</v>
      </c>
      <c r="L109" s="4">
        <f>AC81</f>
        <v>0</v>
      </c>
      <c r="M109" s="4">
        <f>AD81</f>
        <v>0</v>
      </c>
      <c r="N109" s="4" t="s">
        <v>76</v>
      </c>
      <c r="O109" s="4">
        <f>$E$4</f>
        <v>17</v>
      </c>
      <c r="P109" s="4">
        <f>$F$4</f>
        <v>0.9</v>
      </c>
      <c r="Q109" s="4">
        <f>$G$4</f>
        <v>0.4</v>
      </c>
      <c r="R109" s="116" t="s">
        <v>314</v>
      </c>
      <c r="S109" s="92" t="s">
        <v>284</v>
      </c>
    </row>
    <row r="110" spans="1:24" x14ac:dyDescent="0.35">
      <c r="I110" s="92"/>
      <c r="S110" s="91"/>
    </row>
    <row r="111" spans="1:24" x14ac:dyDescent="0.35">
      <c r="I111" s="92"/>
    </row>
    <row r="112" spans="1:24" x14ac:dyDescent="0.35">
      <c r="I112" s="92"/>
    </row>
    <row r="113" spans="1:9" x14ac:dyDescent="0.35">
      <c r="E113" s="4" t="s">
        <v>2</v>
      </c>
      <c r="H113" s="4" t="s">
        <v>3</v>
      </c>
      <c r="I113" s="92"/>
    </row>
    <row r="114" spans="1:9" x14ac:dyDescent="0.35">
      <c r="A114" s="25" t="s">
        <v>268</v>
      </c>
      <c r="B114" s="4">
        <v>2023</v>
      </c>
      <c r="C114" s="4">
        <v>2050</v>
      </c>
      <c r="D114" s="4" t="s">
        <v>5</v>
      </c>
      <c r="E114" s="4" t="s">
        <v>8</v>
      </c>
      <c r="F114" s="4" t="s">
        <v>9</v>
      </c>
      <c r="G114" s="4" t="s">
        <v>10</v>
      </c>
      <c r="I114" s="92"/>
    </row>
    <row r="115" spans="1:9" x14ac:dyDescent="0.35">
      <c r="A115" s="4" t="s">
        <v>14</v>
      </c>
      <c r="B115" s="4">
        <v>40000</v>
      </c>
      <c r="C115" s="4">
        <v>40000</v>
      </c>
      <c r="D115" s="4" t="s">
        <v>15</v>
      </c>
      <c r="E115" s="4">
        <v>12</v>
      </c>
      <c r="F115" s="4">
        <v>0.9</v>
      </c>
      <c r="G115" s="4">
        <v>0.4</v>
      </c>
      <c r="H115" s="116" t="s">
        <v>259</v>
      </c>
      <c r="I115" s="92" t="s">
        <v>17</v>
      </c>
    </row>
    <row r="116" spans="1:9" x14ac:dyDescent="0.35">
      <c r="A116" s="4" t="s">
        <v>25</v>
      </c>
      <c r="B116" s="4">
        <f>-B115*0.25</f>
        <v>-10000</v>
      </c>
      <c r="C116" s="4">
        <f>-C115*0.25</f>
        <v>-10000</v>
      </c>
      <c r="D116" s="4" t="s">
        <v>15</v>
      </c>
      <c r="E116" s="4">
        <v>12</v>
      </c>
      <c r="F116" s="4">
        <v>0.9</v>
      </c>
      <c r="G116" s="4">
        <v>0.4</v>
      </c>
      <c r="H116" s="116" t="s">
        <v>26</v>
      </c>
      <c r="I116" s="93" t="s">
        <v>27</v>
      </c>
    </row>
    <row r="117" spans="1:9" x14ac:dyDescent="0.35">
      <c r="A117" s="4" t="s">
        <v>37</v>
      </c>
      <c r="B117" s="4">
        <v>70000</v>
      </c>
      <c r="C117" s="4">
        <v>70000</v>
      </c>
      <c r="D117" s="4" t="s">
        <v>38</v>
      </c>
      <c r="E117" s="4">
        <v>12</v>
      </c>
      <c r="F117" s="4">
        <v>0.9</v>
      </c>
      <c r="G117" s="4">
        <v>0.4</v>
      </c>
      <c r="H117" s="116" t="s">
        <v>39</v>
      </c>
      <c r="I117" s="92" t="s">
        <v>40</v>
      </c>
    </row>
    <row r="118" spans="1:9" x14ac:dyDescent="0.35">
      <c r="A118" s="4" t="s">
        <v>48</v>
      </c>
      <c r="B118" s="4">
        <v>25</v>
      </c>
      <c r="C118" s="4">
        <v>25</v>
      </c>
      <c r="D118" s="4" t="s">
        <v>49</v>
      </c>
      <c r="E118" s="4">
        <v>12</v>
      </c>
      <c r="F118" s="4">
        <v>0.9</v>
      </c>
      <c r="G118" s="4">
        <v>0.4</v>
      </c>
      <c r="H118" s="116" t="s">
        <v>50</v>
      </c>
      <c r="I118" s="92" t="s">
        <v>51</v>
      </c>
    </row>
    <row r="119" spans="1:9" x14ac:dyDescent="0.35">
      <c r="A119" s="4" t="s">
        <v>56</v>
      </c>
      <c r="B119" s="118">
        <f>46%/C71</f>
        <v>0.6133333333333334</v>
      </c>
      <c r="C119" s="118">
        <f>46%/C71</f>
        <v>0.6133333333333334</v>
      </c>
      <c r="D119" s="4" t="s">
        <v>57</v>
      </c>
      <c r="E119" s="4">
        <v>12</v>
      </c>
      <c r="F119" s="4">
        <v>0.9</v>
      </c>
      <c r="G119" s="4">
        <v>0.4</v>
      </c>
      <c r="H119" s="116" t="s">
        <v>16</v>
      </c>
      <c r="I119" s="92" t="s">
        <v>108</v>
      </c>
    </row>
    <row r="120" spans="1:9" x14ac:dyDescent="0.35">
      <c r="A120" s="4" t="s">
        <v>64</v>
      </c>
      <c r="B120" s="4">
        <v>78000</v>
      </c>
      <c r="C120" s="4">
        <v>78000</v>
      </c>
      <c r="D120" s="4" t="s">
        <v>65</v>
      </c>
      <c r="E120" s="4">
        <v>12</v>
      </c>
      <c r="F120" s="4">
        <v>0.9</v>
      </c>
      <c r="G120" s="4">
        <v>0.4</v>
      </c>
      <c r="H120" s="116" t="s">
        <v>16</v>
      </c>
      <c r="I120" s="92" t="s">
        <v>109</v>
      </c>
    </row>
    <row r="121" spans="1:9" x14ac:dyDescent="0.35">
      <c r="A121" s="4" t="s">
        <v>70</v>
      </c>
      <c r="B121" s="4">
        <v>10</v>
      </c>
      <c r="C121" s="4">
        <v>10</v>
      </c>
      <c r="D121" s="4" t="s">
        <v>42</v>
      </c>
      <c r="E121" s="4">
        <v>12</v>
      </c>
      <c r="F121" s="4">
        <v>0.9</v>
      </c>
      <c r="G121" s="4">
        <v>0.4</v>
      </c>
      <c r="H121" s="116" t="s">
        <v>71</v>
      </c>
      <c r="I121" s="92" t="s">
        <v>72</v>
      </c>
    </row>
    <row r="122" spans="1:9" x14ac:dyDescent="0.35">
      <c r="A122" s="4" t="s">
        <v>260</v>
      </c>
      <c r="B122" s="4">
        <v>0.11</v>
      </c>
      <c r="C122" s="4">
        <v>0.11</v>
      </c>
      <c r="D122" s="4" t="s">
        <v>76</v>
      </c>
      <c r="E122" s="4">
        <v>12</v>
      </c>
      <c r="F122" s="4">
        <v>0.9</v>
      </c>
      <c r="G122" s="4">
        <v>0.4</v>
      </c>
      <c r="H122" s="116" t="s">
        <v>77</v>
      </c>
      <c r="I122" s="92" t="s">
        <v>78</v>
      </c>
    </row>
    <row r="123" spans="1:9" x14ac:dyDescent="0.35">
      <c r="I123" s="92"/>
    </row>
    <row r="124" spans="1:9" x14ac:dyDescent="0.35">
      <c r="I124" s="92"/>
    </row>
    <row r="125" spans="1:9" x14ac:dyDescent="0.35">
      <c r="I125" s="92"/>
    </row>
    <row r="126" spans="1:9" x14ac:dyDescent="0.35">
      <c r="I126" s="92"/>
    </row>
    <row r="127" spans="1:9" x14ac:dyDescent="0.35">
      <c r="E127" s="4" t="s">
        <v>2</v>
      </c>
      <c r="H127" s="4" t="s">
        <v>3</v>
      </c>
      <c r="I127" s="92"/>
    </row>
    <row r="128" spans="1:9" x14ac:dyDescent="0.35">
      <c r="A128" s="25" t="s">
        <v>541</v>
      </c>
      <c r="B128" s="4">
        <v>2023</v>
      </c>
      <c r="C128" s="4">
        <v>2050</v>
      </c>
      <c r="D128" s="4" t="s">
        <v>5</v>
      </c>
      <c r="E128" s="4" t="s">
        <v>8</v>
      </c>
      <c r="F128" s="4" t="s">
        <v>9</v>
      </c>
      <c r="G128" s="4" t="s">
        <v>10</v>
      </c>
      <c r="I128" s="92"/>
    </row>
    <row r="129" spans="1:11" x14ac:dyDescent="0.35">
      <c r="A129" s="4" t="s">
        <v>14</v>
      </c>
      <c r="B129" s="4">
        <v>35000</v>
      </c>
      <c r="C129" s="4">
        <v>35000</v>
      </c>
      <c r="D129" s="4" t="s">
        <v>15</v>
      </c>
      <c r="E129" s="4">
        <v>12</v>
      </c>
      <c r="F129" s="4">
        <v>0.9</v>
      </c>
      <c r="G129" s="4">
        <v>0.4</v>
      </c>
      <c r="H129" s="116" t="s">
        <v>259</v>
      </c>
      <c r="I129" s="92" t="s">
        <v>17</v>
      </c>
    </row>
    <row r="130" spans="1:11" x14ac:dyDescent="0.35">
      <c r="A130" s="4" t="s">
        <v>25</v>
      </c>
      <c r="B130" s="4">
        <f>-B129*0.25</f>
        <v>-8750</v>
      </c>
      <c r="C130" s="4">
        <f>-C129*0.25</f>
        <v>-8750</v>
      </c>
      <c r="D130" s="4" t="s">
        <v>15</v>
      </c>
      <c r="E130" s="4">
        <v>12</v>
      </c>
      <c r="F130" s="4">
        <v>0.9</v>
      </c>
      <c r="G130" s="4">
        <v>0.4</v>
      </c>
      <c r="H130" s="116" t="s">
        <v>26</v>
      </c>
      <c r="I130" s="93" t="s">
        <v>27</v>
      </c>
    </row>
    <row r="131" spans="1:11" x14ac:dyDescent="0.35">
      <c r="A131" s="4" t="s">
        <v>37</v>
      </c>
      <c r="B131" s="4">
        <v>70000</v>
      </c>
      <c r="C131" s="4">
        <v>70000</v>
      </c>
      <c r="D131" s="4" t="s">
        <v>38</v>
      </c>
      <c r="E131" s="4">
        <v>12</v>
      </c>
      <c r="F131" s="4">
        <v>0.9</v>
      </c>
      <c r="G131" s="4">
        <v>0.4</v>
      </c>
      <c r="H131" s="116" t="s">
        <v>39</v>
      </c>
      <c r="I131" s="92" t="s">
        <v>40</v>
      </c>
    </row>
    <row r="132" spans="1:11" x14ac:dyDescent="0.35">
      <c r="A132" s="4" t="s">
        <v>48</v>
      </c>
      <c r="B132" s="4">
        <v>25</v>
      </c>
      <c r="C132" s="4">
        <v>25</v>
      </c>
      <c r="D132" s="4" t="s">
        <v>49</v>
      </c>
      <c r="E132" s="4">
        <v>12</v>
      </c>
      <c r="F132" s="4">
        <v>0.9</v>
      </c>
      <c r="G132" s="4">
        <v>0.4</v>
      </c>
      <c r="H132" s="116" t="s">
        <v>50</v>
      </c>
      <c r="I132" s="92" t="s">
        <v>51</v>
      </c>
    </row>
    <row r="133" spans="1:11" x14ac:dyDescent="0.35">
      <c r="A133" s="4" t="s">
        <v>56</v>
      </c>
      <c r="B133" s="118">
        <f>48%/C71</f>
        <v>0.64</v>
      </c>
      <c r="C133" s="118">
        <f>48%/C71</f>
        <v>0.64</v>
      </c>
      <c r="D133" s="4" t="s">
        <v>57</v>
      </c>
      <c r="E133" s="4">
        <v>12</v>
      </c>
      <c r="F133" s="4">
        <v>0.9</v>
      </c>
      <c r="G133" s="4">
        <v>0.4</v>
      </c>
      <c r="H133" s="116" t="s">
        <v>16</v>
      </c>
      <c r="I133" s="92" t="s">
        <v>110</v>
      </c>
    </row>
    <row r="134" spans="1:11" x14ac:dyDescent="0.35">
      <c r="A134" s="4" t="s">
        <v>64</v>
      </c>
      <c r="B134" s="4">
        <v>90000</v>
      </c>
      <c r="C134" s="4">
        <v>90000</v>
      </c>
      <c r="D134" s="4" t="s">
        <v>65</v>
      </c>
      <c r="E134" s="4">
        <v>12</v>
      </c>
      <c r="F134" s="4">
        <v>0.9</v>
      </c>
      <c r="G134" s="4">
        <v>0.4</v>
      </c>
      <c r="H134" s="116" t="s">
        <v>16</v>
      </c>
      <c r="I134" s="92" t="s">
        <v>111</v>
      </c>
    </row>
    <row r="135" spans="1:11" x14ac:dyDescent="0.35">
      <c r="A135" s="4" t="s">
        <v>70</v>
      </c>
      <c r="B135" s="4">
        <v>10</v>
      </c>
      <c r="C135" s="4">
        <v>10</v>
      </c>
      <c r="D135" s="4" t="s">
        <v>42</v>
      </c>
      <c r="E135" s="4">
        <v>12</v>
      </c>
      <c r="F135" s="4">
        <v>0.9</v>
      </c>
      <c r="G135" s="4">
        <v>0.4</v>
      </c>
      <c r="H135" s="116" t="s">
        <v>71</v>
      </c>
      <c r="I135" s="92" t="s">
        <v>72</v>
      </c>
    </row>
    <row r="136" spans="1:11" x14ac:dyDescent="0.35">
      <c r="A136" s="4" t="s">
        <v>260</v>
      </c>
      <c r="B136" s="4">
        <v>0.11</v>
      </c>
      <c r="C136" s="4">
        <v>0.11</v>
      </c>
      <c r="D136" s="4" t="s">
        <v>76</v>
      </c>
      <c r="E136" s="4">
        <v>12</v>
      </c>
      <c r="F136" s="4">
        <v>0.9</v>
      </c>
      <c r="G136" s="4">
        <v>0.4</v>
      </c>
      <c r="H136" s="116" t="s">
        <v>77</v>
      </c>
      <c r="I136" s="92" t="s">
        <v>78</v>
      </c>
    </row>
    <row r="137" spans="1:11" x14ac:dyDescent="0.35">
      <c r="I137" s="91"/>
    </row>
    <row r="139" spans="1:11" s="71" customFormat="1" ht="31" x14ac:dyDescent="0.7">
      <c r="A139" s="71" t="s">
        <v>261</v>
      </c>
      <c r="K139" s="71" t="s">
        <v>0</v>
      </c>
    </row>
    <row r="140" spans="1:11" s="74" customFormat="1" ht="15.65" customHeight="1" x14ac:dyDescent="0.7">
      <c r="B140" s="4" t="s">
        <v>398</v>
      </c>
      <c r="C140" s="72">
        <v>0.75</v>
      </c>
      <c r="D140" s="130" t="s">
        <v>401</v>
      </c>
    </row>
    <row r="141" spans="1:11" s="74" customFormat="1" ht="15.65" customHeight="1" x14ac:dyDescent="0.7">
      <c r="B141" s="4" t="s">
        <v>399</v>
      </c>
      <c r="C141" s="72">
        <f>1-C140</f>
        <v>0.25</v>
      </c>
      <c r="D141" s="130" t="s">
        <v>400</v>
      </c>
    </row>
    <row r="142" spans="1:11" x14ac:dyDescent="0.35">
      <c r="B142" s="120" t="s">
        <v>147</v>
      </c>
      <c r="C142" s="120"/>
      <c r="D142" s="120"/>
      <c r="E142" s="120">
        <v>28</v>
      </c>
      <c r="F142" s="117" t="s">
        <v>9</v>
      </c>
    </row>
    <row r="143" spans="1:11" x14ac:dyDescent="0.35">
      <c r="A143" s="73" t="s">
        <v>112</v>
      </c>
      <c r="B143" s="120" t="s">
        <v>150</v>
      </c>
      <c r="C143" s="120"/>
      <c r="D143" s="120" t="s">
        <v>151</v>
      </c>
      <c r="E143" s="120">
        <f>2800/35</f>
        <v>80</v>
      </c>
      <c r="F143" s="117" t="s">
        <v>9</v>
      </c>
    </row>
    <row r="144" spans="1:11" ht="15" thickBot="1" x14ac:dyDescent="0.4"/>
    <row r="145" spans="1:42" x14ac:dyDescent="0.35">
      <c r="E145" s="4" t="s">
        <v>2</v>
      </c>
      <c r="H145" s="4" t="s">
        <v>3</v>
      </c>
      <c r="I145" s="91"/>
      <c r="O145" s="4" t="s">
        <v>2</v>
      </c>
      <c r="R145" s="4" t="s">
        <v>3</v>
      </c>
      <c r="S145" s="91"/>
      <c r="W145" s="75" t="s">
        <v>113</v>
      </c>
      <c r="X145" s="76">
        <v>2023</v>
      </c>
      <c r="Y145" s="76">
        <v>2050</v>
      </c>
      <c r="Z145" s="77" t="s">
        <v>5</v>
      </c>
      <c r="AB145" s="75" t="s">
        <v>114</v>
      </c>
      <c r="AC145" s="76">
        <v>2023</v>
      </c>
      <c r="AD145" s="76">
        <v>2050</v>
      </c>
      <c r="AE145" s="77" t="s">
        <v>5</v>
      </c>
      <c r="AG145" s="75" t="s">
        <v>115</v>
      </c>
      <c r="AH145" s="76">
        <v>2023</v>
      </c>
      <c r="AI145" s="76">
        <v>2050</v>
      </c>
      <c r="AJ145" s="77" t="s">
        <v>5</v>
      </c>
      <c r="AL145" s="75" t="s">
        <v>116</v>
      </c>
      <c r="AM145" s="76">
        <v>2023</v>
      </c>
      <c r="AN145" s="76">
        <v>2050</v>
      </c>
      <c r="AO145" s="77" t="s">
        <v>5</v>
      </c>
    </row>
    <row r="146" spans="1:42" x14ac:dyDescent="0.35">
      <c r="A146" s="25" t="s">
        <v>269</v>
      </c>
      <c r="B146" s="4">
        <v>2023</v>
      </c>
      <c r="C146" s="4">
        <v>2050</v>
      </c>
      <c r="D146" s="4" t="s">
        <v>5</v>
      </c>
      <c r="E146" s="4" t="s">
        <v>8</v>
      </c>
      <c r="F146" s="4" t="s">
        <v>9</v>
      </c>
      <c r="G146" s="4" t="s">
        <v>10</v>
      </c>
      <c r="I146" s="91"/>
      <c r="K146" s="25" t="s">
        <v>11</v>
      </c>
      <c r="L146" s="4">
        <v>2023</v>
      </c>
      <c r="M146" s="4">
        <v>2050</v>
      </c>
      <c r="N146" s="4" t="s">
        <v>5</v>
      </c>
      <c r="O146" s="4" t="s">
        <v>8</v>
      </c>
      <c r="P146" s="4" t="s">
        <v>9</v>
      </c>
      <c r="Q146" s="4" t="s">
        <v>10</v>
      </c>
      <c r="S146" s="34"/>
      <c r="W146" s="78" t="s">
        <v>12</v>
      </c>
      <c r="X146" s="83">
        <f>$B$4</f>
        <v>0</v>
      </c>
      <c r="Y146" s="83">
        <f>$C$4</f>
        <v>0</v>
      </c>
      <c r="Z146" s="79" t="s">
        <v>13</v>
      </c>
      <c r="AB146" s="78" t="s">
        <v>12</v>
      </c>
      <c r="AC146" s="83">
        <f>$B$4</f>
        <v>0</v>
      </c>
      <c r="AD146" s="83">
        <f>$C$4</f>
        <v>0</v>
      </c>
      <c r="AE146" s="79" t="s">
        <v>13</v>
      </c>
      <c r="AG146" s="78" t="s">
        <v>12</v>
      </c>
      <c r="AH146" s="83">
        <f>$B$4</f>
        <v>0</v>
      </c>
      <c r="AI146" s="83">
        <f>$C$4</f>
        <v>0</v>
      </c>
      <c r="AJ146" s="79" t="s">
        <v>13</v>
      </c>
      <c r="AL146" s="78" t="s">
        <v>12</v>
      </c>
      <c r="AM146" s="83">
        <f>$B$4</f>
        <v>0</v>
      </c>
      <c r="AN146" s="83">
        <f>$C$4</f>
        <v>0</v>
      </c>
      <c r="AO146" s="79" t="s">
        <v>13</v>
      </c>
    </row>
    <row r="147" spans="1:42" x14ac:dyDescent="0.35">
      <c r="A147" s="4" t="s">
        <v>14</v>
      </c>
      <c r="B147" s="89">
        <f>150000*$E$142</f>
        <v>4200000</v>
      </c>
      <c r="C147" s="4">
        <f>150000*$E$142</f>
        <v>4200000</v>
      </c>
      <c r="D147" s="4" t="s">
        <v>15</v>
      </c>
      <c r="E147" s="4">
        <v>12</v>
      </c>
      <c r="F147" s="4">
        <v>0.9</v>
      </c>
      <c r="G147" s="4">
        <v>0.4</v>
      </c>
      <c r="H147" s="117" t="s">
        <v>117</v>
      </c>
      <c r="I147" s="92" t="s">
        <v>118</v>
      </c>
      <c r="K147" s="4" t="s">
        <v>18</v>
      </c>
      <c r="L147" s="4">
        <v>3500000</v>
      </c>
      <c r="M147" s="4">
        <v>3500000</v>
      </c>
      <c r="N147" s="4" t="s">
        <v>15</v>
      </c>
      <c r="O147" s="4">
        <v>12</v>
      </c>
      <c r="P147" s="4">
        <v>0.9</v>
      </c>
      <c r="Q147" s="4">
        <v>0.4</v>
      </c>
      <c r="R147" s="117" t="s">
        <v>9</v>
      </c>
      <c r="S147" s="92" t="s">
        <v>119</v>
      </c>
      <c r="W147" s="78" t="s">
        <v>20</v>
      </c>
      <c r="X147" s="4">
        <v>3.17</v>
      </c>
      <c r="Y147" s="4">
        <v>3.17</v>
      </c>
      <c r="Z147" s="79" t="s">
        <v>21</v>
      </c>
      <c r="AB147" s="78" t="s">
        <v>22</v>
      </c>
      <c r="AC147" s="4">
        <v>2.1999999999999999E-2</v>
      </c>
      <c r="AD147" s="4">
        <v>0</v>
      </c>
      <c r="AE147" s="4" t="s">
        <v>23</v>
      </c>
      <c r="AG147" s="78" t="s">
        <v>22</v>
      </c>
      <c r="AH147" s="4">
        <v>2.1999999999999999E-2</v>
      </c>
      <c r="AI147" s="4">
        <v>0</v>
      </c>
      <c r="AJ147" s="4" t="s">
        <v>23</v>
      </c>
      <c r="AL147" s="78" t="s">
        <v>22</v>
      </c>
      <c r="AM147" s="4">
        <v>2.1999999999999999E-2</v>
      </c>
      <c r="AN147" s="4">
        <v>0</v>
      </c>
      <c r="AO147" s="4" t="s">
        <v>23</v>
      </c>
      <c r="AP147" s="4" t="s">
        <v>24</v>
      </c>
    </row>
    <row r="148" spans="1:42" x14ac:dyDescent="0.35">
      <c r="A148" s="4" t="s">
        <v>25</v>
      </c>
      <c r="B148" s="4">
        <f>-B147*0.05</f>
        <v>-210000</v>
      </c>
      <c r="C148" s="4">
        <f>-C147*0.05</f>
        <v>-210000</v>
      </c>
      <c r="D148" s="4" t="s">
        <v>15</v>
      </c>
      <c r="E148" s="4">
        <v>12</v>
      </c>
      <c r="F148" s="4">
        <v>0.9</v>
      </c>
      <c r="G148" s="4">
        <v>0.4</v>
      </c>
      <c r="H148" s="117" t="s">
        <v>26</v>
      </c>
      <c r="I148" s="91" t="s">
        <v>120</v>
      </c>
      <c r="K148" s="4" t="s">
        <v>28</v>
      </c>
      <c r="L148" s="4">
        <f>-L147*0.15</f>
        <v>-525000</v>
      </c>
      <c r="M148" s="4">
        <f>-M147*0.05</f>
        <v>-175000</v>
      </c>
      <c r="N148" s="4" t="s">
        <v>15</v>
      </c>
      <c r="O148" s="4">
        <v>12</v>
      </c>
      <c r="P148" s="4">
        <v>0.9</v>
      </c>
      <c r="Q148" s="4">
        <v>0.4</v>
      </c>
      <c r="R148" s="117" t="s">
        <v>26</v>
      </c>
      <c r="S148" s="91" t="s">
        <v>121</v>
      </c>
      <c r="W148" s="78" t="s">
        <v>31</v>
      </c>
      <c r="X148" s="4">
        <v>11.89</v>
      </c>
      <c r="Y148" s="4">
        <v>11.89</v>
      </c>
      <c r="Z148" s="79" t="s">
        <v>32</v>
      </c>
      <c r="AB148" s="78" t="s">
        <v>33</v>
      </c>
      <c r="AC148" s="72">
        <v>0.61</v>
      </c>
      <c r="AD148" s="72">
        <v>0.7</v>
      </c>
      <c r="AE148" s="79" t="s">
        <v>34</v>
      </c>
      <c r="AG148" s="78" t="s">
        <v>35</v>
      </c>
      <c r="AH148" s="72">
        <v>0.95</v>
      </c>
      <c r="AI148" s="72">
        <v>0.95</v>
      </c>
      <c r="AJ148" s="79" t="s">
        <v>34</v>
      </c>
      <c r="AL148" s="78" t="s">
        <v>35</v>
      </c>
      <c r="AM148" s="72">
        <v>0.95</v>
      </c>
      <c r="AN148" s="72">
        <v>0.95</v>
      </c>
      <c r="AO148" s="79" t="s">
        <v>34</v>
      </c>
      <c r="AP148" s="4" t="s">
        <v>36</v>
      </c>
    </row>
    <row r="149" spans="1:42" x14ac:dyDescent="0.35">
      <c r="A149" s="4" t="s">
        <v>37</v>
      </c>
      <c r="B149" s="89">
        <v>650000</v>
      </c>
      <c r="C149" s="4">
        <v>650000</v>
      </c>
      <c r="D149" s="4" t="s">
        <v>38</v>
      </c>
      <c r="E149" s="4">
        <v>12</v>
      </c>
      <c r="F149" s="4">
        <v>0.9</v>
      </c>
      <c r="G149" s="4">
        <v>0.4</v>
      </c>
      <c r="H149" s="117" t="s">
        <v>16</v>
      </c>
      <c r="I149" s="91" t="s">
        <v>122</v>
      </c>
      <c r="K149" s="4" t="s">
        <v>41</v>
      </c>
      <c r="L149" s="4">
        <v>20</v>
      </c>
      <c r="M149" s="4">
        <v>20</v>
      </c>
      <c r="N149" s="4" t="s">
        <v>42</v>
      </c>
      <c r="O149" s="4">
        <v>12</v>
      </c>
      <c r="P149" s="4">
        <v>0.9</v>
      </c>
      <c r="Q149" s="4">
        <v>0.4</v>
      </c>
      <c r="R149" s="117" t="s">
        <v>9</v>
      </c>
      <c r="S149" s="91" t="s">
        <v>123</v>
      </c>
      <c r="W149" s="78" t="s">
        <v>45</v>
      </c>
      <c r="X149" s="65">
        <f>X147/X148</f>
        <v>0.26661059714045415</v>
      </c>
      <c r="Y149" s="65">
        <f>Y147/Y148</f>
        <v>0.26661059714045415</v>
      </c>
      <c r="Z149" s="79" t="s">
        <v>46</v>
      </c>
      <c r="AB149" s="78" t="s">
        <v>47</v>
      </c>
      <c r="AC149" s="85">
        <f>AC147/AC148</f>
        <v>3.6065573770491799E-2</v>
      </c>
      <c r="AD149" s="85">
        <f>AD147/AD148</f>
        <v>0</v>
      </c>
      <c r="AE149" s="79" t="s">
        <v>46</v>
      </c>
      <c r="AG149" s="78" t="s">
        <v>22</v>
      </c>
      <c r="AH149" s="85">
        <f>AH147/AH148</f>
        <v>2.3157894736842106E-2</v>
      </c>
      <c r="AI149" s="85">
        <f>AI147/AI148</f>
        <v>0</v>
      </c>
      <c r="AJ149" s="79" t="s">
        <v>46</v>
      </c>
      <c r="AL149" s="78" t="s">
        <v>22</v>
      </c>
      <c r="AM149" s="85">
        <f>AM147/AM148</f>
        <v>2.3157894736842106E-2</v>
      </c>
      <c r="AN149" s="85">
        <f>AN147/AN148</f>
        <v>0</v>
      </c>
      <c r="AO149" s="79" t="s">
        <v>46</v>
      </c>
    </row>
    <row r="150" spans="1:42" x14ac:dyDescent="0.35">
      <c r="A150" s="4" t="s">
        <v>48</v>
      </c>
      <c r="B150" s="4">
        <f>$E$142*$E$143</f>
        <v>2240</v>
      </c>
      <c r="C150" s="4">
        <f>$E$142*$E$143</f>
        <v>2240</v>
      </c>
      <c r="D150" s="4" t="s">
        <v>49</v>
      </c>
      <c r="E150" s="4">
        <v>12</v>
      </c>
      <c r="F150" s="4">
        <v>0.9</v>
      </c>
      <c r="G150" s="4">
        <v>0.4</v>
      </c>
      <c r="H150" s="117" t="s">
        <v>124</v>
      </c>
      <c r="I150" s="92" t="s">
        <v>125</v>
      </c>
      <c r="K150" s="4" t="s">
        <v>52</v>
      </c>
      <c r="L150" s="88">
        <f>L147*0.3</f>
        <v>1050000</v>
      </c>
      <c r="M150" s="88">
        <f>M147*0.3</f>
        <v>1050000</v>
      </c>
      <c r="N150" s="4" t="s">
        <v>38</v>
      </c>
      <c r="O150" s="4">
        <v>12</v>
      </c>
      <c r="P150" s="4">
        <v>0.9</v>
      </c>
      <c r="Q150" s="4">
        <v>0.4</v>
      </c>
      <c r="R150" s="117" t="s">
        <v>9</v>
      </c>
      <c r="S150" s="92" t="s">
        <v>126</v>
      </c>
      <c r="W150" s="78" t="s">
        <v>54</v>
      </c>
      <c r="X150" s="4">
        <f>L151*X149</f>
        <v>20.469721783010932</v>
      </c>
      <c r="Y150" s="4">
        <f>M151*X149</f>
        <v>20.469721783010932</v>
      </c>
      <c r="Z150" s="79" t="s">
        <v>55</v>
      </c>
      <c r="AB150" s="78" t="s">
        <v>54</v>
      </c>
      <c r="AC150" s="4">
        <f>AC149*L187</f>
        <v>1.7621088524590158</v>
      </c>
      <c r="AD150" s="4">
        <f>AD149*M187</f>
        <v>0</v>
      </c>
      <c r="AE150" s="79" t="s">
        <v>55</v>
      </c>
      <c r="AG150" s="78" t="s">
        <v>54</v>
      </c>
      <c r="AH150" s="4">
        <f>AH149*L163</f>
        <v>0.73212076780185753</v>
      </c>
      <c r="AI150" s="4">
        <f>AI149*M163</f>
        <v>0</v>
      </c>
      <c r="AJ150" s="79" t="s">
        <v>55</v>
      </c>
      <c r="AL150" s="78" t="s">
        <v>54</v>
      </c>
      <c r="AM150" s="4">
        <f>AM149*L175</f>
        <v>0.77787831578947364</v>
      </c>
      <c r="AN150" s="4">
        <f>AN149*M175</f>
        <v>0</v>
      </c>
      <c r="AO150" s="79" t="s">
        <v>55</v>
      </c>
    </row>
    <row r="151" spans="1:42" ht="15" thickBot="1" x14ac:dyDescent="0.4">
      <c r="A151" s="4" t="s">
        <v>56</v>
      </c>
      <c r="B151" s="118">
        <f>48%/C140</f>
        <v>0.64</v>
      </c>
      <c r="C151" s="118">
        <f>48%/C140</f>
        <v>0.64</v>
      </c>
      <c r="D151" s="4" t="s">
        <v>57</v>
      </c>
      <c r="E151" s="4">
        <v>12</v>
      </c>
      <c r="F151" s="4">
        <v>0.9</v>
      </c>
      <c r="G151" s="4">
        <v>0.4</v>
      </c>
      <c r="H151" s="117" t="s">
        <v>16</v>
      </c>
      <c r="I151" s="91" t="s">
        <v>127</v>
      </c>
      <c r="K151" s="4" t="s">
        <v>59</v>
      </c>
      <c r="L151" s="4">
        <f>(1.8*$B152+0.0041*$B152*$B150*$B151)*10/$B152</f>
        <v>76.777599999999993</v>
      </c>
      <c r="M151" s="4">
        <f>(1.8*$B152+0.0041*$B152*$B150*$B151)*10/$B152</f>
        <v>76.777599999999993</v>
      </c>
      <c r="N151" s="4" t="s">
        <v>60</v>
      </c>
      <c r="O151" s="4">
        <v>12</v>
      </c>
      <c r="P151" s="4">
        <v>0.9</v>
      </c>
      <c r="Q151" s="4">
        <v>0.4</v>
      </c>
      <c r="R151" s="117" t="s">
        <v>43</v>
      </c>
      <c r="S151" s="91" t="s">
        <v>128</v>
      </c>
      <c r="W151" s="80" t="s">
        <v>62</v>
      </c>
      <c r="X151" s="81">
        <f>X146/1000*X150</f>
        <v>0</v>
      </c>
      <c r="Y151" s="81">
        <f>Y150/1000*Y146</f>
        <v>0</v>
      </c>
      <c r="Z151" s="82" t="s">
        <v>63</v>
      </c>
      <c r="AB151" s="80" t="s">
        <v>62</v>
      </c>
      <c r="AC151" s="81">
        <f>AC146/1000*AC150</f>
        <v>0</v>
      </c>
      <c r="AD151" s="81">
        <f>AD150/1000*AD146</f>
        <v>0</v>
      </c>
      <c r="AE151" s="82" t="s">
        <v>63</v>
      </c>
      <c r="AG151" s="80" t="s">
        <v>62</v>
      </c>
      <c r="AH151" s="81">
        <f>AH146/1000*AH150</f>
        <v>0</v>
      </c>
      <c r="AI151" s="81">
        <f>AI150/1000*AI146</f>
        <v>0</v>
      </c>
      <c r="AJ151" s="82" t="s">
        <v>63</v>
      </c>
      <c r="AL151" s="80" t="s">
        <v>62</v>
      </c>
      <c r="AM151" s="81">
        <f>AM146/1000*AM150</f>
        <v>0</v>
      </c>
      <c r="AN151" s="81">
        <f>AN150/1000*AN146</f>
        <v>0</v>
      </c>
      <c r="AO151" s="82" t="s">
        <v>63</v>
      </c>
    </row>
    <row r="152" spans="1:42" x14ac:dyDescent="0.35">
      <c r="A152" s="4" t="s">
        <v>64</v>
      </c>
      <c r="B152" s="4">
        <v>178500</v>
      </c>
      <c r="C152" s="4">
        <v>178500</v>
      </c>
      <c r="D152" s="4" t="s">
        <v>65</v>
      </c>
      <c r="E152" s="4">
        <v>12</v>
      </c>
      <c r="F152" s="4">
        <v>0.9</v>
      </c>
      <c r="G152" s="4">
        <v>0.4</v>
      </c>
      <c r="H152" s="117" t="s">
        <v>16</v>
      </c>
      <c r="I152" s="92" t="s">
        <v>129</v>
      </c>
      <c r="K152" s="4" t="s">
        <v>67</v>
      </c>
      <c r="L152" s="4">
        <v>0.1</v>
      </c>
      <c r="M152" s="4">
        <v>0.1</v>
      </c>
      <c r="N152" s="4" t="s">
        <v>68</v>
      </c>
      <c r="O152" s="4">
        <v>12</v>
      </c>
      <c r="P152" s="4">
        <v>0.9</v>
      </c>
      <c r="Q152" s="4">
        <v>0.4</v>
      </c>
      <c r="R152" s="117" t="s">
        <v>69</v>
      </c>
      <c r="S152" s="91" t="s">
        <v>251</v>
      </c>
    </row>
    <row r="153" spans="1:42" x14ac:dyDescent="0.35">
      <c r="A153" s="4" t="s">
        <v>70</v>
      </c>
      <c r="B153" s="4">
        <v>30</v>
      </c>
      <c r="C153" s="4">
        <v>30</v>
      </c>
      <c r="D153" s="4" t="s">
        <v>42</v>
      </c>
      <c r="E153" s="4">
        <v>12</v>
      </c>
      <c r="F153" s="4">
        <v>0.9</v>
      </c>
      <c r="G153" s="4">
        <v>0.4</v>
      </c>
      <c r="H153" s="117" t="s">
        <v>130</v>
      </c>
      <c r="I153" s="91" t="s">
        <v>131</v>
      </c>
      <c r="K153" s="4" t="s">
        <v>73</v>
      </c>
      <c r="L153" s="118">
        <v>0</v>
      </c>
      <c r="M153" s="118">
        <v>0</v>
      </c>
      <c r="N153" s="4" t="s">
        <v>57</v>
      </c>
      <c r="O153" s="4">
        <v>12</v>
      </c>
      <c r="P153" s="4">
        <v>0.9</v>
      </c>
      <c r="Q153" s="4">
        <v>0.4</v>
      </c>
      <c r="R153" s="117" t="s">
        <v>9</v>
      </c>
      <c r="S153" s="91" t="s">
        <v>74</v>
      </c>
      <c r="W153" s="4" t="s">
        <v>26</v>
      </c>
      <c r="X153" s="4" t="s">
        <v>80</v>
      </c>
    </row>
    <row r="154" spans="1:42" x14ac:dyDescent="0.35">
      <c r="A154" s="4" t="s">
        <v>273</v>
      </c>
      <c r="B154" s="90">
        <v>3.9215686274509802</v>
      </c>
      <c r="C154" s="90">
        <v>3.9215686274509802</v>
      </c>
      <c r="D154" s="4" t="s">
        <v>76</v>
      </c>
      <c r="E154" s="4">
        <v>12</v>
      </c>
      <c r="F154" s="4">
        <v>0.9</v>
      </c>
      <c r="G154" s="4">
        <v>0.4</v>
      </c>
      <c r="H154" s="117" t="s">
        <v>16</v>
      </c>
      <c r="I154" s="92" t="s">
        <v>132</v>
      </c>
      <c r="K154" s="4" t="s">
        <v>79</v>
      </c>
      <c r="L154" s="118">
        <v>0.06</v>
      </c>
      <c r="M154" s="118">
        <v>0.06</v>
      </c>
      <c r="N154" s="4" t="s">
        <v>57</v>
      </c>
      <c r="O154" s="4">
        <v>12</v>
      </c>
      <c r="P154" s="4">
        <v>0.9</v>
      </c>
      <c r="Q154" s="4">
        <v>0.4</v>
      </c>
      <c r="R154" s="117" t="s">
        <v>96</v>
      </c>
      <c r="S154" s="96" t="s">
        <v>74</v>
      </c>
      <c r="W154" s="4" t="s">
        <v>9</v>
      </c>
      <c r="X154" s="4" t="s">
        <v>98</v>
      </c>
    </row>
    <row r="155" spans="1:42" x14ac:dyDescent="0.35">
      <c r="I155" s="91"/>
      <c r="K155" s="4" t="s">
        <v>540</v>
      </c>
      <c r="L155" s="4">
        <f>X151</f>
        <v>0</v>
      </c>
      <c r="M155" s="4">
        <f>Y151</f>
        <v>0</v>
      </c>
      <c r="N155" s="4" t="s">
        <v>76</v>
      </c>
      <c r="O155" s="4">
        <v>17</v>
      </c>
      <c r="P155" s="4">
        <v>0.9</v>
      </c>
      <c r="Q155" s="4">
        <v>0.4</v>
      </c>
      <c r="R155" s="117" t="s">
        <v>313</v>
      </c>
      <c r="S155" s="92" t="s">
        <v>82</v>
      </c>
      <c r="W155" s="4" t="s">
        <v>16</v>
      </c>
      <c r="X155" s="4" t="s">
        <v>84</v>
      </c>
    </row>
    <row r="156" spans="1:42" x14ac:dyDescent="0.35">
      <c r="I156" s="91"/>
      <c r="S156" s="91"/>
      <c r="W156" s="4" t="s">
        <v>43</v>
      </c>
      <c r="X156" s="4" t="s">
        <v>133</v>
      </c>
      <c r="AF156" s="87"/>
      <c r="AG156" s="89"/>
    </row>
    <row r="157" spans="1:42" x14ac:dyDescent="0.35">
      <c r="E157" s="4" t="s">
        <v>2</v>
      </c>
      <c r="H157" s="4" t="s">
        <v>3</v>
      </c>
      <c r="I157" s="91"/>
      <c r="O157" s="4" t="s">
        <v>2</v>
      </c>
      <c r="R157" s="4" t="s">
        <v>3</v>
      </c>
      <c r="S157" s="91"/>
      <c r="W157" s="4" t="s">
        <v>77</v>
      </c>
      <c r="X157" s="4" t="s">
        <v>134</v>
      </c>
    </row>
    <row r="158" spans="1:42" x14ac:dyDescent="0.35">
      <c r="A158" s="25" t="s">
        <v>270</v>
      </c>
      <c r="B158" s="4">
        <v>2023</v>
      </c>
      <c r="C158" s="4">
        <v>2050</v>
      </c>
      <c r="D158" s="4" t="s">
        <v>5</v>
      </c>
      <c r="E158" s="4" t="s">
        <v>8</v>
      </c>
      <c r="F158" s="4" t="s">
        <v>9</v>
      </c>
      <c r="G158" s="4" t="s">
        <v>10</v>
      </c>
      <c r="I158" s="91"/>
      <c r="K158" s="25" t="s">
        <v>135</v>
      </c>
      <c r="L158" s="4">
        <v>2023</v>
      </c>
      <c r="M158" s="4">
        <v>2050</v>
      </c>
      <c r="N158" s="4" t="s">
        <v>5</v>
      </c>
      <c r="O158" s="4" t="s">
        <v>8</v>
      </c>
      <c r="P158" s="4" t="s">
        <v>9</v>
      </c>
      <c r="Q158" s="4" t="s">
        <v>10</v>
      </c>
      <c r="S158" s="91"/>
      <c r="W158" s="4" t="s">
        <v>71</v>
      </c>
      <c r="X158" s="4" t="s">
        <v>136</v>
      </c>
    </row>
    <row r="159" spans="1:42" x14ac:dyDescent="0.35">
      <c r="A159" s="4" t="s">
        <v>14</v>
      </c>
      <c r="B159" s="4">
        <f>200000*$E$142</f>
        <v>5600000</v>
      </c>
      <c r="C159" s="4">
        <f>200000*$E$142</f>
        <v>5600000</v>
      </c>
      <c r="D159" s="4" t="s">
        <v>15</v>
      </c>
      <c r="E159" s="4">
        <v>12</v>
      </c>
      <c r="F159" s="4">
        <v>0.9</v>
      </c>
      <c r="G159" s="4">
        <v>0.4</v>
      </c>
      <c r="H159" s="117" t="s">
        <v>117</v>
      </c>
      <c r="I159" s="92" t="s">
        <v>137</v>
      </c>
      <c r="K159" s="4" t="s">
        <v>18</v>
      </c>
      <c r="L159" s="4">
        <v>5000000</v>
      </c>
      <c r="M159" s="4">
        <v>5000000</v>
      </c>
      <c r="N159" s="4" t="s">
        <v>15</v>
      </c>
      <c r="O159" s="4">
        <v>12</v>
      </c>
      <c r="P159" s="4">
        <v>0.9</v>
      </c>
      <c r="Q159" s="4">
        <v>0.4</v>
      </c>
      <c r="R159" s="117" t="s">
        <v>9</v>
      </c>
      <c r="S159" s="92" t="s">
        <v>138</v>
      </c>
      <c r="W159" s="4" t="s">
        <v>50</v>
      </c>
      <c r="X159" s="4" t="s">
        <v>24</v>
      </c>
    </row>
    <row r="160" spans="1:42" x14ac:dyDescent="0.35">
      <c r="A160" s="4" t="s">
        <v>25</v>
      </c>
      <c r="B160" s="4">
        <f>-B159*0.05</f>
        <v>-280000</v>
      </c>
      <c r="C160" s="4">
        <f>-C159*0.05</f>
        <v>-280000</v>
      </c>
      <c r="D160" s="4" t="s">
        <v>15</v>
      </c>
      <c r="E160" s="4">
        <v>12</v>
      </c>
      <c r="F160" s="4">
        <v>0.9</v>
      </c>
      <c r="G160" s="4">
        <v>0.4</v>
      </c>
      <c r="H160" s="117" t="s">
        <v>26</v>
      </c>
      <c r="I160" s="91" t="s">
        <v>120</v>
      </c>
      <c r="K160" s="4" t="s">
        <v>28</v>
      </c>
      <c r="L160" s="4">
        <f>-L159*0.15</f>
        <v>-750000</v>
      </c>
      <c r="M160" s="4">
        <f>-M159*0.15</f>
        <v>-750000</v>
      </c>
      <c r="N160" s="4" t="s">
        <v>15</v>
      </c>
      <c r="O160" s="4">
        <v>12</v>
      </c>
      <c r="P160" s="4">
        <v>0.9</v>
      </c>
      <c r="Q160" s="4">
        <v>0.4</v>
      </c>
      <c r="R160" s="117" t="s">
        <v>26</v>
      </c>
      <c r="S160" s="91" t="s">
        <v>139</v>
      </c>
      <c r="W160" s="4" t="s">
        <v>81</v>
      </c>
      <c r="X160" s="4" t="s">
        <v>36</v>
      </c>
    </row>
    <row r="161" spans="1:24" x14ac:dyDescent="0.35">
      <c r="A161" s="4" t="s">
        <v>37</v>
      </c>
      <c r="B161" s="4">
        <f>250000+370000</f>
        <v>620000</v>
      </c>
      <c r="C161" s="4">
        <f>250000+370000</f>
        <v>620000</v>
      </c>
      <c r="D161" s="4" t="s">
        <v>38</v>
      </c>
      <c r="E161" s="4">
        <v>12</v>
      </c>
      <c r="F161" s="4">
        <v>0.9</v>
      </c>
      <c r="G161" s="4">
        <v>0.4</v>
      </c>
      <c r="H161" s="117" t="s">
        <v>16</v>
      </c>
      <c r="I161" s="91" t="s">
        <v>140</v>
      </c>
      <c r="K161" s="4" t="s">
        <v>41</v>
      </c>
      <c r="L161" s="4">
        <v>20</v>
      </c>
      <c r="M161" s="4">
        <v>20</v>
      </c>
      <c r="N161" s="4" t="s">
        <v>42</v>
      </c>
      <c r="O161" s="4">
        <v>12</v>
      </c>
      <c r="P161" s="4">
        <v>0.9</v>
      </c>
      <c r="Q161" s="4">
        <v>0.4</v>
      </c>
      <c r="R161" s="117" t="s">
        <v>9</v>
      </c>
      <c r="S161" s="91" t="s">
        <v>123</v>
      </c>
      <c r="W161" s="4" t="s">
        <v>94</v>
      </c>
      <c r="X161" s="4" t="s">
        <v>100</v>
      </c>
    </row>
    <row r="162" spans="1:24" x14ac:dyDescent="0.35">
      <c r="A162" s="4" t="s">
        <v>48</v>
      </c>
      <c r="B162" s="4">
        <f>$E$142*$E$143</f>
        <v>2240</v>
      </c>
      <c r="C162" s="4">
        <f>$E$142*$E$143</f>
        <v>2240</v>
      </c>
      <c r="D162" s="4" t="s">
        <v>49</v>
      </c>
      <c r="E162" s="4">
        <v>12</v>
      </c>
      <c r="F162" s="4">
        <v>0.9</v>
      </c>
      <c r="G162" s="4">
        <v>0.4</v>
      </c>
      <c r="H162" s="117" t="s">
        <v>124</v>
      </c>
      <c r="I162" s="92" t="s">
        <v>125</v>
      </c>
      <c r="K162" s="4" t="s">
        <v>52</v>
      </c>
      <c r="L162" s="4">
        <f>L159*0.13</f>
        <v>650000</v>
      </c>
      <c r="M162" s="4">
        <f>M159*0.13</f>
        <v>650000</v>
      </c>
      <c r="N162" s="4" t="s">
        <v>38</v>
      </c>
      <c r="O162" s="4">
        <v>12</v>
      </c>
      <c r="P162" s="4">
        <v>0.9</v>
      </c>
      <c r="Q162" s="4">
        <v>0.4</v>
      </c>
      <c r="R162" s="117" t="s">
        <v>9</v>
      </c>
      <c r="S162" s="92" t="s">
        <v>141</v>
      </c>
      <c r="W162" s="4" t="s">
        <v>96</v>
      </c>
      <c r="X162" s="4" t="s">
        <v>87</v>
      </c>
    </row>
    <row r="163" spans="1:24" x14ac:dyDescent="0.35">
      <c r="A163" s="4" t="s">
        <v>56</v>
      </c>
      <c r="B163" s="118">
        <f>32%/C140</f>
        <v>0.42666666666666669</v>
      </c>
      <c r="C163" s="118">
        <f>32%/C140</f>
        <v>0.42666666666666669</v>
      </c>
      <c r="D163" s="4" t="s">
        <v>57</v>
      </c>
      <c r="E163" s="4">
        <v>12</v>
      </c>
      <c r="F163" s="4">
        <v>0.9</v>
      </c>
      <c r="G163" s="4">
        <v>0.4</v>
      </c>
      <c r="H163" s="117" t="s">
        <v>16</v>
      </c>
      <c r="I163" s="91" t="s">
        <v>142</v>
      </c>
      <c r="K163" s="4" t="s">
        <v>59</v>
      </c>
      <c r="L163" s="90">
        <f>L151*0.35/0.85</f>
        <v>31.614305882352937</v>
      </c>
      <c r="M163" s="90">
        <f>M151*0.35/0.85</f>
        <v>31.614305882352937</v>
      </c>
      <c r="N163" s="4" t="s">
        <v>60</v>
      </c>
      <c r="O163" s="4">
        <v>12</v>
      </c>
      <c r="P163" s="4">
        <v>0.9</v>
      </c>
      <c r="Q163" s="4">
        <v>0.4</v>
      </c>
      <c r="R163" s="117" t="s">
        <v>9</v>
      </c>
      <c r="S163" s="92" t="s">
        <v>143</v>
      </c>
      <c r="W163" s="4" t="s">
        <v>69</v>
      </c>
      <c r="X163" s="4" t="s">
        <v>250</v>
      </c>
    </row>
    <row r="164" spans="1:24" x14ac:dyDescent="0.35">
      <c r="A164" s="4" t="s">
        <v>64</v>
      </c>
      <c r="B164" s="4">
        <v>178500</v>
      </c>
      <c r="C164" s="4">
        <v>178500</v>
      </c>
      <c r="D164" s="4" t="s">
        <v>65</v>
      </c>
      <c r="E164" s="4">
        <v>12</v>
      </c>
      <c r="F164" s="4">
        <v>0.9</v>
      </c>
      <c r="G164" s="4">
        <v>0.4</v>
      </c>
      <c r="H164" s="117" t="s">
        <v>16</v>
      </c>
      <c r="I164" s="91" t="s">
        <v>142</v>
      </c>
      <c r="K164" s="4" t="s">
        <v>67</v>
      </c>
      <c r="L164" s="65">
        <f t="shared" ref="L164:Q164" si="4">B8</f>
        <v>0.13371034051801745</v>
      </c>
      <c r="M164" s="65">
        <f t="shared" si="4"/>
        <v>8.7585019329602734E-2</v>
      </c>
      <c r="N164" s="65" t="str">
        <f t="shared" si="4"/>
        <v>[€/kWh]</v>
      </c>
      <c r="O164" s="65">
        <f t="shared" si="4"/>
        <v>12</v>
      </c>
      <c r="P164" s="65">
        <f t="shared" si="4"/>
        <v>0.9</v>
      </c>
      <c r="Q164" s="65">
        <f t="shared" si="4"/>
        <v>0.4</v>
      </c>
      <c r="R164" s="117" t="s">
        <v>96</v>
      </c>
      <c r="S164" s="92" t="s">
        <v>287</v>
      </c>
      <c r="W164" s="4" t="s">
        <v>10</v>
      </c>
      <c r="X164" s="4" t="s">
        <v>36</v>
      </c>
    </row>
    <row r="165" spans="1:24" x14ac:dyDescent="0.35">
      <c r="A165" s="4" t="s">
        <v>70</v>
      </c>
      <c r="B165" s="4">
        <v>30</v>
      </c>
      <c r="C165" s="4">
        <v>30</v>
      </c>
      <c r="D165" s="4" t="s">
        <v>42</v>
      </c>
      <c r="E165" s="4">
        <v>12</v>
      </c>
      <c r="F165" s="4">
        <v>0.9</v>
      </c>
      <c r="G165" s="4">
        <v>0.4</v>
      </c>
      <c r="H165" s="117" t="s">
        <v>130</v>
      </c>
      <c r="I165" s="91" t="s">
        <v>131</v>
      </c>
      <c r="K165" s="4" t="s">
        <v>73</v>
      </c>
      <c r="L165" s="118">
        <v>0</v>
      </c>
      <c r="M165" s="118">
        <v>0</v>
      </c>
      <c r="N165" s="4" t="s">
        <v>57</v>
      </c>
      <c r="O165" s="4">
        <v>12</v>
      </c>
      <c r="P165" s="4">
        <v>0.9</v>
      </c>
      <c r="Q165" s="4">
        <v>0.4</v>
      </c>
      <c r="R165" s="117" t="s">
        <v>9</v>
      </c>
      <c r="S165" s="91" t="s">
        <v>74</v>
      </c>
      <c r="W165" s="4" t="s">
        <v>249</v>
      </c>
      <c r="X165" s="4" t="s">
        <v>310</v>
      </c>
    </row>
    <row r="166" spans="1:24" x14ac:dyDescent="0.35">
      <c r="A166" s="4" t="s">
        <v>273</v>
      </c>
      <c r="B166" s="90">
        <v>3.6414565826330532</v>
      </c>
      <c r="C166" s="90">
        <v>3.6414565826330532</v>
      </c>
      <c r="D166" s="4" t="s">
        <v>76</v>
      </c>
      <c r="E166" s="4">
        <v>12</v>
      </c>
      <c r="F166" s="4">
        <v>0.9</v>
      </c>
      <c r="G166" s="4">
        <v>0.4</v>
      </c>
      <c r="H166" s="117" t="s">
        <v>16</v>
      </c>
      <c r="I166" s="92" t="s">
        <v>145</v>
      </c>
      <c r="K166" s="4" t="s">
        <v>79</v>
      </c>
      <c r="L166" s="118">
        <v>0.06</v>
      </c>
      <c r="M166" s="118">
        <v>0.06</v>
      </c>
      <c r="N166" s="4" t="s">
        <v>57</v>
      </c>
      <c r="O166" s="4">
        <v>12</v>
      </c>
      <c r="P166" s="4">
        <v>0.9</v>
      </c>
      <c r="Q166" s="4">
        <v>0.4</v>
      </c>
      <c r="R166" s="117" t="s">
        <v>96</v>
      </c>
      <c r="S166" s="96" t="s">
        <v>146</v>
      </c>
    </row>
    <row r="167" spans="1:24" x14ac:dyDescent="0.35">
      <c r="I167" s="91"/>
      <c r="K167" s="4" t="s">
        <v>540</v>
      </c>
      <c r="L167" s="4">
        <f>AH151</f>
        <v>0</v>
      </c>
      <c r="M167" s="4">
        <f>AI151</f>
        <v>0</v>
      </c>
      <c r="N167" s="4" t="s">
        <v>76</v>
      </c>
      <c r="O167" s="4">
        <f>$E$4</f>
        <v>17</v>
      </c>
      <c r="P167" s="4">
        <f>$F$4</f>
        <v>0.9</v>
      </c>
      <c r="Q167" s="4">
        <f>$G$4</f>
        <v>0.4</v>
      </c>
      <c r="R167" s="117" t="s">
        <v>312</v>
      </c>
      <c r="S167" s="92" t="s">
        <v>101</v>
      </c>
    </row>
    <row r="168" spans="1:24" x14ac:dyDescent="0.35">
      <c r="I168" s="91"/>
      <c r="S168" s="91"/>
    </row>
    <row r="169" spans="1:24" x14ac:dyDescent="0.35">
      <c r="E169" s="4" t="s">
        <v>2</v>
      </c>
      <c r="H169" s="4" t="s">
        <v>3</v>
      </c>
      <c r="I169" s="91"/>
      <c r="O169" s="4" t="s">
        <v>2</v>
      </c>
      <c r="R169" s="4" t="s">
        <v>3</v>
      </c>
      <c r="S169" s="91"/>
    </row>
    <row r="170" spans="1:24" x14ac:dyDescent="0.35">
      <c r="A170" s="25" t="s">
        <v>271</v>
      </c>
      <c r="B170" s="4">
        <v>2023</v>
      </c>
      <c r="C170" s="4">
        <v>2050</v>
      </c>
      <c r="D170" s="4" t="s">
        <v>5</v>
      </c>
      <c r="E170" s="4" t="s">
        <v>8</v>
      </c>
      <c r="F170" s="4" t="s">
        <v>9</v>
      </c>
      <c r="G170" s="4" t="s">
        <v>10</v>
      </c>
      <c r="I170" s="91"/>
      <c r="K170" s="25" t="s">
        <v>86</v>
      </c>
      <c r="L170" s="4">
        <v>2023</v>
      </c>
      <c r="M170" s="4">
        <v>2050</v>
      </c>
      <c r="N170" s="4" t="s">
        <v>5</v>
      </c>
      <c r="O170" s="4" t="s">
        <v>8</v>
      </c>
      <c r="P170" s="4" t="s">
        <v>9</v>
      </c>
      <c r="Q170" s="4" t="s">
        <v>10</v>
      </c>
      <c r="S170" s="91"/>
    </row>
    <row r="171" spans="1:24" x14ac:dyDescent="0.35">
      <c r="A171" s="4" t="s">
        <v>14</v>
      </c>
      <c r="B171" s="4">
        <f>100000*$E$142</f>
        <v>2800000</v>
      </c>
      <c r="C171" s="4">
        <f>100000*$E$142</f>
        <v>2800000</v>
      </c>
      <c r="D171" s="4" t="s">
        <v>15</v>
      </c>
      <c r="E171" s="4">
        <v>12</v>
      </c>
      <c r="F171" s="4">
        <v>0.9</v>
      </c>
      <c r="G171" s="4">
        <v>0.4</v>
      </c>
      <c r="H171" s="117" t="s">
        <v>117</v>
      </c>
      <c r="I171" s="92" t="s">
        <v>148</v>
      </c>
      <c r="K171" s="4" t="s">
        <v>18</v>
      </c>
      <c r="L171" s="4">
        <f>L159*2</f>
        <v>10000000</v>
      </c>
      <c r="M171" s="4">
        <f>M159*1.25</f>
        <v>6250000</v>
      </c>
      <c r="N171" s="4" t="s">
        <v>15</v>
      </c>
      <c r="O171" s="4">
        <v>12</v>
      </c>
      <c r="P171" s="4">
        <v>0.9</v>
      </c>
      <c r="Q171" s="4">
        <v>0.4</v>
      </c>
      <c r="R171" s="117" t="s">
        <v>288</v>
      </c>
      <c r="S171" s="91"/>
    </row>
    <row r="172" spans="1:24" x14ac:dyDescent="0.35">
      <c r="A172" s="4" t="s">
        <v>25</v>
      </c>
      <c r="B172" s="4">
        <f>-B171*0.05</f>
        <v>-140000</v>
      </c>
      <c r="C172" s="4">
        <f>-C171*0.05</f>
        <v>-140000</v>
      </c>
      <c r="D172" s="4" t="s">
        <v>15</v>
      </c>
      <c r="E172" s="4">
        <v>12</v>
      </c>
      <c r="F172" s="4">
        <v>0.9</v>
      </c>
      <c r="G172" s="4">
        <v>0.4</v>
      </c>
      <c r="H172" s="117" t="s">
        <v>26</v>
      </c>
      <c r="I172" s="91" t="s">
        <v>120</v>
      </c>
      <c r="K172" s="4" t="s">
        <v>28</v>
      </c>
      <c r="L172" s="4">
        <f>-L171*0.05</f>
        <v>-500000</v>
      </c>
      <c r="M172" s="4">
        <f>-M171*0.15</f>
        <v>-937500</v>
      </c>
      <c r="N172" s="4" t="s">
        <v>15</v>
      </c>
      <c r="O172" s="4">
        <v>12</v>
      </c>
      <c r="P172" s="4">
        <v>0.9</v>
      </c>
      <c r="Q172" s="4">
        <v>0.4</v>
      </c>
      <c r="R172" s="117" t="s">
        <v>26</v>
      </c>
      <c r="S172" s="91" t="s">
        <v>149</v>
      </c>
    </row>
    <row r="173" spans="1:24" x14ac:dyDescent="0.35">
      <c r="A173" s="4" t="s">
        <v>37</v>
      </c>
      <c r="B173" s="4">
        <f>250000+360000</f>
        <v>610000</v>
      </c>
      <c r="C173" s="4">
        <f>250000+360000</f>
        <v>610000</v>
      </c>
      <c r="D173" s="4" t="s">
        <v>38</v>
      </c>
      <c r="E173" s="4">
        <v>12</v>
      </c>
      <c r="F173" s="4">
        <v>0.9</v>
      </c>
      <c r="G173" s="4">
        <v>0.4</v>
      </c>
      <c r="H173" s="117" t="s">
        <v>16</v>
      </c>
      <c r="I173" s="91" t="s">
        <v>152</v>
      </c>
      <c r="K173" s="4" t="s">
        <v>41</v>
      </c>
      <c r="L173" s="4">
        <v>20</v>
      </c>
      <c r="M173" s="4">
        <v>20</v>
      </c>
      <c r="N173" s="4" t="s">
        <v>42</v>
      </c>
      <c r="O173" s="4">
        <v>12</v>
      </c>
      <c r="P173" s="4">
        <v>0.9</v>
      </c>
      <c r="Q173" s="4">
        <v>0.4</v>
      </c>
      <c r="R173" s="117" t="s">
        <v>9</v>
      </c>
      <c r="S173" s="91" t="s">
        <v>123</v>
      </c>
    </row>
    <row r="174" spans="1:24" x14ac:dyDescent="0.35">
      <c r="A174" s="4" t="s">
        <v>48</v>
      </c>
      <c r="B174" s="4">
        <f>$E$142*$E$143</f>
        <v>2240</v>
      </c>
      <c r="C174" s="4">
        <f>$E$142*$E$143</f>
        <v>2240</v>
      </c>
      <c r="D174" s="4" t="s">
        <v>49</v>
      </c>
      <c r="E174" s="4">
        <v>12</v>
      </c>
      <c r="F174" s="4">
        <v>0.9</v>
      </c>
      <c r="G174" s="4">
        <v>0.4</v>
      </c>
      <c r="H174" s="117" t="s">
        <v>124</v>
      </c>
      <c r="I174" s="92" t="s">
        <v>125</v>
      </c>
      <c r="K174" s="4" t="s">
        <v>52</v>
      </c>
      <c r="L174" s="89">
        <f>L171*0.13</f>
        <v>1300000</v>
      </c>
      <c r="M174" s="4">
        <f>M171*0.13</f>
        <v>812500</v>
      </c>
      <c r="N174" s="4" t="s">
        <v>38</v>
      </c>
      <c r="O174" s="4">
        <v>12</v>
      </c>
      <c r="P174" s="4">
        <v>0.9</v>
      </c>
      <c r="Q174" s="4">
        <v>0.4</v>
      </c>
      <c r="R174" s="117" t="s">
        <v>153</v>
      </c>
      <c r="S174" s="92" t="s">
        <v>154</v>
      </c>
    </row>
    <row r="175" spans="1:24" x14ac:dyDescent="0.35">
      <c r="A175" s="4" t="s">
        <v>56</v>
      </c>
      <c r="B175" s="118">
        <f>32%/C140</f>
        <v>0.42666666666666669</v>
      </c>
      <c r="C175" s="118">
        <f>32%/C140</f>
        <v>0.42666666666666669</v>
      </c>
      <c r="D175" s="4" t="s">
        <v>57</v>
      </c>
      <c r="E175" s="4">
        <v>12</v>
      </c>
      <c r="F175" s="4">
        <v>0.9</v>
      </c>
      <c r="G175" s="4">
        <v>0.4</v>
      </c>
      <c r="H175" s="117" t="s">
        <v>16</v>
      </c>
      <c r="I175" s="91" t="s">
        <v>155</v>
      </c>
      <c r="K175" s="4" t="s">
        <v>59</v>
      </c>
      <c r="L175" s="4">
        <f>L151*0.35/0.8</f>
        <v>33.590199999999996</v>
      </c>
      <c r="M175" s="4">
        <f>M151*0.35/0.8</f>
        <v>33.590199999999996</v>
      </c>
      <c r="N175" s="4" t="s">
        <v>60</v>
      </c>
      <c r="O175" s="4">
        <v>12</v>
      </c>
      <c r="P175" s="4">
        <v>0.9</v>
      </c>
      <c r="Q175" s="4">
        <v>0.4</v>
      </c>
      <c r="R175" s="117" t="s">
        <v>9</v>
      </c>
      <c r="S175" s="92" t="s">
        <v>156</v>
      </c>
    </row>
    <row r="176" spans="1:24" x14ac:dyDescent="0.35">
      <c r="A176" s="4" t="s">
        <v>64</v>
      </c>
      <c r="B176" s="4">
        <v>178500</v>
      </c>
      <c r="C176" s="4">
        <v>178500</v>
      </c>
      <c r="D176" s="4" t="s">
        <v>65</v>
      </c>
      <c r="E176" s="4">
        <v>12</v>
      </c>
      <c r="F176" s="4">
        <v>0.9</v>
      </c>
      <c r="G176" s="4">
        <v>0.4</v>
      </c>
      <c r="H176" s="117" t="s">
        <v>16</v>
      </c>
      <c r="I176" s="91" t="s">
        <v>155</v>
      </c>
      <c r="K176" s="4" t="s">
        <v>67</v>
      </c>
      <c r="L176" s="65">
        <f t="shared" ref="L176:Q176" si="5">B8</f>
        <v>0.13371034051801745</v>
      </c>
      <c r="M176" s="65">
        <f t="shared" si="5"/>
        <v>8.7585019329602734E-2</v>
      </c>
      <c r="N176" s="65" t="str">
        <f t="shared" si="5"/>
        <v>[€/kWh]</v>
      </c>
      <c r="O176" s="65">
        <f t="shared" si="5"/>
        <v>12</v>
      </c>
      <c r="P176" s="65">
        <f t="shared" si="5"/>
        <v>0.9</v>
      </c>
      <c r="Q176" s="65">
        <f t="shared" si="5"/>
        <v>0.4</v>
      </c>
      <c r="R176" s="117" t="s">
        <v>96</v>
      </c>
      <c r="S176" s="92" t="s">
        <v>287</v>
      </c>
    </row>
    <row r="177" spans="1:32" x14ac:dyDescent="0.35">
      <c r="A177" s="4" t="s">
        <v>70</v>
      </c>
      <c r="B177" s="4">
        <v>30</v>
      </c>
      <c r="C177" s="4">
        <v>30</v>
      </c>
      <c r="D177" s="4" t="s">
        <v>42</v>
      </c>
      <c r="E177" s="4">
        <v>12</v>
      </c>
      <c r="F177" s="4">
        <v>0.9</v>
      </c>
      <c r="G177" s="4">
        <v>0.4</v>
      </c>
      <c r="H177" s="117" t="s">
        <v>130</v>
      </c>
      <c r="I177" s="91" t="s">
        <v>131</v>
      </c>
      <c r="K177" s="4" t="s">
        <v>73</v>
      </c>
      <c r="L177" s="97">
        <f>1/E142</f>
        <v>3.5714285714285712E-2</v>
      </c>
      <c r="M177" s="97">
        <f>0.5/E142</f>
        <v>1.7857142857142856E-2</v>
      </c>
      <c r="N177" s="4" t="s">
        <v>57</v>
      </c>
      <c r="O177" s="4">
        <v>12</v>
      </c>
      <c r="P177" s="4">
        <v>0.9</v>
      </c>
      <c r="Q177" s="4">
        <v>0.4</v>
      </c>
      <c r="R177" s="117" t="s">
        <v>153</v>
      </c>
      <c r="S177" s="91" t="s">
        <v>157</v>
      </c>
    </row>
    <row r="178" spans="1:32" x14ac:dyDescent="0.35">
      <c r="A178" s="4" t="s">
        <v>273</v>
      </c>
      <c r="B178" s="90">
        <v>3.6414565826330532</v>
      </c>
      <c r="C178" s="90">
        <v>3.6414565826330532</v>
      </c>
      <c r="D178" s="4" t="s">
        <v>76</v>
      </c>
      <c r="E178" s="4">
        <v>12</v>
      </c>
      <c r="F178" s="4">
        <v>0.9</v>
      </c>
      <c r="G178" s="4">
        <v>0.4</v>
      </c>
      <c r="H178" s="117" t="s">
        <v>16</v>
      </c>
      <c r="I178" s="92" t="s">
        <v>145</v>
      </c>
      <c r="K178" s="4" t="s">
        <v>79</v>
      </c>
      <c r="L178" s="118">
        <v>0.06</v>
      </c>
      <c r="M178" s="118">
        <v>0.06</v>
      </c>
      <c r="N178" s="4" t="s">
        <v>57</v>
      </c>
      <c r="O178" s="4">
        <v>12</v>
      </c>
      <c r="P178" s="4">
        <v>0.9</v>
      </c>
      <c r="Q178" s="4">
        <v>0.4</v>
      </c>
      <c r="R178" s="117" t="s">
        <v>96</v>
      </c>
      <c r="S178" s="96" t="s">
        <v>74</v>
      </c>
    </row>
    <row r="179" spans="1:32" x14ac:dyDescent="0.35">
      <c r="I179" s="91"/>
      <c r="K179" s="4" t="s">
        <v>540</v>
      </c>
      <c r="L179" s="4">
        <f>AM151</f>
        <v>0</v>
      </c>
      <c r="M179" s="4">
        <f>AN151</f>
        <v>0</v>
      </c>
      <c r="N179" s="4" t="s">
        <v>76</v>
      </c>
      <c r="O179" s="4">
        <f>$E$4</f>
        <v>17</v>
      </c>
      <c r="P179" s="4">
        <f>$F$4</f>
        <v>0.9</v>
      </c>
      <c r="Q179" s="4">
        <f>$G$4</f>
        <v>0.4</v>
      </c>
      <c r="R179" s="117" t="s">
        <v>311</v>
      </c>
      <c r="S179" s="92" t="s">
        <v>101</v>
      </c>
    </row>
    <row r="180" spans="1:32" x14ac:dyDescent="0.35">
      <c r="I180" s="91"/>
      <c r="S180" s="91"/>
    </row>
    <row r="181" spans="1:32" x14ac:dyDescent="0.35">
      <c r="E181" s="4" t="s">
        <v>2</v>
      </c>
      <c r="H181" s="4" t="s">
        <v>3</v>
      </c>
      <c r="I181" s="91"/>
      <c r="O181" s="4" t="s">
        <v>2</v>
      </c>
      <c r="R181" s="4" t="s">
        <v>3</v>
      </c>
      <c r="S181" s="91"/>
      <c r="AE181" s="4">
        <f>L151*0.35</f>
        <v>26.872159999999997</v>
      </c>
      <c r="AF181" s="4">
        <f>AE181/0.85</f>
        <v>31.614305882352937</v>
      </c>
    </row>
    <row r="182" spans="1:32" x14ac:dyDescent="0.35">
      <c r="A182" s="25" t="s">
        <v>272</v>
      </c>
      <c r="B182" s="4">
        <v>2023</v>
      </c>
      <c r="C182" s="4">
        <v>2050</v>
      </c>
      <c r="D182" s="4" t="s">
        <v>5</v>
      </c>
      <c r="E182" s="4" t="s">
        <v>8</v>
      </c>
      <c r="F182" s="4" t="s">
        <v>9</v>
      </c>
      <c r="G182" s="4" t="s">
        <v>10</v>
      </c>
      <c r="I182" s="91"/>
      <c r="K182" s="25" t="s">
        <v>102</v>
      </c>
      <c r="L182" s="4">
        <v>2023</v>
      </c>
      <c r="M182" s="4">
        <v>2050</v>
      </c>
      <c r="N182" s="4" t="s">
        <v>5</v>
      </c>
      <c r="O182" s="4" t="s">
        <v>8</v>
      </c>
      <c r="P182" s="4" t="s">
        <v>9</v>
      </c>
      <c r="Q182" s="4" t="s">
        <v>10</v>
      </c>
      <c r="S182" s="91"/>
    </row>
    <row r="183" spans="1:32" x14ac:dyDescent="0.35">
      <c r="A183" s="4" t="s">
        <v>14</v>
      </c>
      <c r="B183" s="4">
        <f>150000*$E$142</f>
        <v>4200000</v>
      </c>
      <c r="C183" s="4">
        <f>150000*$E$142</f>
        <v>4200000</v>
      </c>
      <c r="D183" s="4" t="s">
        <v>15</v>
      </c>
      <c r="E183" s="4">
        <v>12</v>
      </c>
      <c r="F183" s="4">
        <v>0.9</v>
      </c>
      <c r="G183" s="4">
        <v>0.4</v>
      </c>
      <c r="H183" s="117" t="s">
        <v>117</v>
      </c>
      <c r="I183" s="92" t="s">
        <v>118</v>
      </c>
      <c r="K183" s="4" t="s">
        <v>18</v>
      </c>
      <c r="L183" s="4">
        <f>L159*2</f>
        <v>10000000</v>
      </c>
      <c r="M183" s="4">
        <f>M159*0.8</f>
        <v>4000000</v>
      </c>
      <c r="N183" s="4" t="s">
        <v>15</v>
      </c>
      <c r="O183" s="4">
        <v>12</v>
      </c>
      <c r="P183" s="4">
        <v>0.9</v>
      </c>
      <c r="Q183" s="4">
        <v>0.4</v>
      </c>
      <c r="R183" s="117" t="s">
        <v>288</v>
      </c>
      <c r="S183" s="91"/>
    </row>
    <row r="184" spans="1:32" x14ac:dyDescent="0.35">
      <c r="A184" s="4" t="s">
        <v>25</v>
      </c>
      <c r="B184" s="4">
        <f>-B183*0.05</f>
        <v>-210000</v>
      </c>
      <c r="C184" s="4">
        <f>-C183*0.05</f>
        <v>-210000</v>
      </c>
      <c r="D184" s="4" t="s">
        <v>15</v>
      </c>
      <c r="E184" s="4">
        <v>12</v>
      </c>
      <c r="F184" s="4">
        <v>0.9</v>
      </c>
      <c r="G184" s="4">
        <v>0.4</v>
      </c>
      <c r="H184" s="117" t="s">
        <v>26</v>
      </c>
      <c r="I184" s="91" t="s">
        <v>120</v>
      </c>
      <c r="K184" s="4" t="s">
        <v>28</v>
      </c>
      <c r="L184" s="4">
        <f>-L183*0.05</f>
        <v>-500000</v>
      </c>
      <c r="M184" s="4">
        <f>-M183*0.15</f>
        <v>-600000</v>
      </c>
      <c r="N184" s="4" t="s">
        <v>15</v>
      </c>
      <c r="O184" s="4">
        <v>12</v>
      </c>
      <c r="P184" s="4">
        <v>0.9</v>
      </c>
      <c r="Q184" s="4">
        <v>0.4</v>
      </c>
      <c r="R184" s="117" t="s">
        <v>26</v>
      </c>
      <c r="S184" s="91" t="s">
        <v>149</v>
      </c>
    </row>
    <row r="185" spans="1:32" x14ac:dyDescent="0.35">
      <c r="A185" s="4" t="s">
        <v>37</v>
      </c>
      <c r="B185" s="4">
        <f>600000+850000</f>
        <v>1450000</v>
      </c>
      <c r="C185" s="4">
        <f>600000+850000</f>
        <v>1450000</v>
      </c>
      <c r="D185" s="4" t="s">
        <v>38</v>
      </c>
      <c r="E185" s="4">
        <v>12</v>
      </c>
      <c r="F185" s="4">
        <v>0.9</v>
      </c>
      <c r="G185" s="4">
        <v>0.4</v>
      </c>
      <c r="H185" s="117" t="s">
        <v>16</v>
      </c>
      <c r="I185" s="91" t="s">
        <v>158</v>
      </c>
      <c r="K185" s="4" t="s">
        <v>41</v>
      </c>
      <c r="L185" s="4">
        <v>20</v>
      </c>
      <c r="M185" s="4">
        <v>20</v>
      </c>
      <c r="N185" s="4" t="s">
        <v>42</v>
      </c>
      <c r="O185" s="4">
        <v>12</v>
      </c>
      <c r="P185" s="4">
        <v>0.9</v>
      </c>
      <c r="Q185" s="4">
        <v>0.4</v>
      </c>
      <c r="R185" s="117" t="s">
        <v>9</v>
      </c>
      <c r="S185" s="91" t="s">
        <v>123</v>
      </c>
    </row>
    <row r="186" spans="1:32" x14ac:dyDescent="0.35">
      <c r="A186" s="4" t="s">
        <v>48</v>
      </c>
      <c r="B186" s="4">
        <f>$E$142*$E$143</f>
        <v>2240</v>
      </c>
      <c r="C186" s="4">
        <f>$E$142*$E$143</f>
        <v>2240</v>
      </c>
      <c r="D186" s="4" t="s">
        <v>49</v>
      </c>
      <c r="E186" s="4">
        <v>12</v>
      </c>
      <c r="F186" s="4">
        <v>0.9</v>
      </c>
      <c r="G186" s="4">
        <v>0.4</v>
      </c>
      <c r="H186" s="117" t="s">
        <v>124</v>
      </c>
      <c r="I186" s="92" t="s">
        <v>125</v>
      </c>
      <c r="K186" s="4" t="s">
        <v>52</v>
      </c>
      <c r="L186" s="4">
        <f>L183*0.14</f>
        <v>1400000.0000000002</v>
      </c>
      <c r="M186" s="4">
        <f>M183*0.14</f>
        <v>560000</v>
      </c>
      <c r="N186" s="4" t="s">
        <v>38</v>
      </c>
      <c r="O186" s="4">
        <v>12</v>
      </c>
      <c r="P186" s="4">
        <v>0.9</v>
      </c>
      <c r="Q186" s="4">
        <v>0.4</v>
      </c>
      <c r="R186" s="117" t="s">
        <v>153</v>
      </c>
      <c r="S186" s="92" t="s">
        <v>154</v>
      </c>
    </row>
    <row r="187" spans="1:32" x14ac:dyDescent="0.35">
      <c r="A187" s="4" t="s">
        <v>56</v>
      </c>
      <c r="B187" s="118">
        <f>54%/C140</f>
        <v>0.72000000000000008</v>
      </c>
      <c r="C187" s="118">
        <f>54%/C140</f>
        <v>0.72000000000000008</v>
      </c>
      <c r="D187" s="4" t="s">
        <v>57</v>
      </c>
      <c r="E187" s="4">
        <v>12</v>
      </c>
      <c r="F187" s="4">
        <v>0.9</v>
      </c>
      <c r="G187" s="4">
        <v>0.4</v>
      </c>
      <c r="H187" s="117" t="s">
        <v>16</v>
      </c>
      <c r="I187" s="91" t="s">
        <v>159</v>
      </c>
      <c r="K187" s="4" t="s">
        <v>59</v>
      </c>
      <c r="L187" s="4">
        <f>L151*0.35/0.55</f>
        <v>48.858472727272719</v>
      </c>
      <c r="M187" s="4">
        <f>M151*0.35/0.65</f>
        <v>41.341784615384611</v>
      </c>
      <c r="N187" s="4" t="s">
        <v>60</v>
      </c>
      <c r="O187" s="4">
        <v>12</v>
      </c>
      <c r="P187" s="4">
        <v>0.9</v>
      </c>
      <c r="Q187" s="4">
        <v>0.4</v>
      </c>
      <c r="R187" s="117" t="s">
        <v>9</v>
      </c>
      <c r="S187" s="92" t="s">
        <v>160</v>
      </c>
    </row>
    <row r="188" spans="1:32" x14ac:dyDescent="0.35">
      <c r="A188" s="4" t="s">
        <v>64</v>
      </c>
      <c r="B188" s="4">
        <v>178500</v>
      </c>
      <c r="C188" s="4">
        <v>178500</v>
      </c>
      <c r="D188" s="4" t="s">
        <v>65</v>
      </c>
      <c r="E188" s="4">
        <v>12</v>
      </c>
      <c r="F188" s="4">
        <v>0.9</v>
      </c>
      <c r="G188" s="4">
        <v>0.4</v>
      </c>
      <c r="H188" s="117" t="s">
        <v>16</v>
      </c>
      <c r="I188" s="91" t="s">
        <v>159</v>
      </c>
      <c r="K188" s="4" t="s">
        <v>67</v>
      </c>
      <c r="L188" s="65">
        <f t="shared" ref="L188:Q188" si="6">B9</f>
        <v>0.2544561408768215</v>
      </c>
      <c r="M188" s="65">
        <f t="shared" si="6"/>
        <v>0.10949010032952979</v>
      </c>
      <c r="N188" s="65" t="str">
        <f t="shared" si="6"/>
        <v>[€/kWh]</v>
      </c>
      <c r="O188" s="65">
        <f t="shared" si="6"/>
        <v>12</v>
      </c>
      <c r="P188" s="65">
        <f t="shared" si="6"/>
        <v>0.9</v>
      </c>
      <c r="Q188" s="65">
        <f t="shared" si="6"/>
        <v>0.4</v>
      </c>
      <c r="R188" s="117" t="s">
        <v>96</v>
      </c>
      <c r="S188" s="92" t="s">
        <v>286</v>
      </c>
    </row>
    <row r="189" spans="1:32" x14ac:dyDescent="0.35">
      <c r="A189" s="4" t="s">
        <v>70</v>
      </c>
      <c r="B189" s="4">
        <v>30</v>
      </c>
      <c r="C189" s="4">
        <v>30</v>
      </c>
      <c r="D189" s="4" t="s">
        <v>42</v>
      </c>
      <c r="E189" s="4">
        <v>12</v>
      </c>
      <c r="F189" s="4">
        <v>0.9</v>
      </c>
      <c r="G189" s="4">
        <v>0.4</v>
      </c>
      <c r="H189" s="117" t="s">
        <v>130</v>
      </c>
      <c r="I189" s="91" t="s">
        <v>131</v>
      </c>
      <c r="K189" s="4" t="s">
        <v>73</v>
      </c>
      <c r="L189" s="97">
        <f>0.5/E142</f>
        <v>1.7857142857142856E-2</v>
      </c>
      <c r="M189" s="97">
        <f>0.5/E142</f>
        <v>1.7857142857142856E-2</v>
      </c>
      <c r="N189" s="4" t="s">
        <v>57</v>
      </c>
      <c r="O189" s="4">
        <v>12</v>
      </c>
      <c r="P189" s="4">
        <v>0.9</v>
      </c>
      <c r="Q189" s="4">
        <v>0.4</v>
      </c>
      <c r="R189" s="117" t="s">
        <v>153</v>
      </c>
      <c r="S189" s="91" t="s">
        <v>161</v>
      </c>
    </row>
    <row r="190" spans="1:32" x14ac:dyDescent="0.35">
      <c r="A190" s="4" t="s">
        <v>273</v>
      </c>
      <c r="B190" s="4">
        <v>8.9635854341736696</v>
      </c>
      <c r="C190" s="4">
        <v>8.9635854341736696</v>
      </c>
      <c r="D190" s="4" t="s">
        <v>76</v>
      </c>
      <c r="E190" s="4">
        <v>12</v>
      </c>
      <c r="F190" s="4">
        <v>0.9</v>
      </c>
      <c r="G190" s="4">
        <v>0.4</v>
      </c>
      <c r="H190" s="117" t="s">
        <v>16</v>
      </c>
      <c r="I190" s="92" t="s">
        <v>162</v>
      </c>
      <c r="K190" s="4" t="s">
        <v>79</v>
      </c>
      <c r="L190" s="118">
        <v>0.06</v>
      </c>
      <c r="M190" s="118">
        <v>0.06</v>
      </c>
      <c r="N190" s="4" t="s">
        <v>57</v>
      </c>
      <c r="O190" s="4">
        <v>12</v>
      </c>
      <c r="P190" s="4">
        <v>0.9</v>
      </c>
      <c r="Q190" s="4">
        <v>0.4</v>
      </c>
      <c r="R190" s="117" t="s">
        <v>96</v>
      </c>
      <c r="S190" s="96" t="s">
        <v>74</v>
      </c>
    </row>
    <row r="191" spans="1:32" x14ac:dyDescent="0.35">
      <c r="I191" s="91"/>
      <c r="K191" s="4" t="s">
        <v>540</v>
      </c>
      <c r="L191" s="4">
        <f>AC151</f>
        <v>0</v>
      </c>
      <c r="M191" s="4">
        <f>AD151</f>
        <v>0</v>
      </c>
      <c r="N191" s="4" t="s">
        <v>76</v>
      </c>
      <c r="O191" s="4">
        <f>$E$4</f>
        <v>17</v>
      </c>
      <c r="P191" s="4">
        <f>$F$4</f>
        <v>0.9</v>
      </c>
      <c r="Q191" s="4">
        <f>$G$4</f>
        <v>0.4</v>
      </c>
      <c r="R191" s="117" t="s">
        <v>311</v>
      </c>
      <c r="S191" s="92" t="s">
        <v>285</v>
      </c>
    </row>
    <row r="192" spans="1:32" x14ac:dyDescent="0.35">
      <c r="E192" s="4" t="s">
        <v>2</v>
      </c>
      <c r="I192" s="91"/>
      <c r="S192" s="91"/>
    </row>
    <row r="193" spans="1:19" x14ac:dyDescent="0.35">
      <c r="A193" s="25" t="s">
        <v>542</v>
      </c>
      <c r="B193" s="4">
        <v>2023</v>
      </c>
      <c r="C193" s="4">
        <v>2050</v>
      </c>
      <c r="D193" s="4" t="s">
        <v>5</v>
      </c>
      <c r="E193" s="4" t="s">
        <v>8</v>
      </c>
      <c r="F193" s="4" t="s">
        <v>9</v>
      </c>
      <c r="G193" s="4" t="s">
        <v>10</v>
      </c>
      <c r="H193" s="4" t="s">
        <v>3</v>
      </c>
      <c r="I193" s="91"/>
      <c r="S193" s="34"/>
    </row>
    <row r="194" spans="1:19" x14ac:dyDescent="0.35">
      <c r="A194" s="4" t="s">
        <v>14</v>
      </c>
      <c r="B194" s="4">
        <f>125000*$E$142</f>
        <v>3500000</v>
      </c>
      <c r="C194" s="4">
        <f>125000*$E$142</f>
        <v>3500000</v>
      </c>
      <c r="D194" s="4" t="s">
        <v>15</v>
      </c>
      <c r="E194" s="4">
        <v>12</v>
      </c>
      <c r="F194" s="4">
        <v>0.9</v>
      </c>
      <c r="G194" s="4">
        <v>0.4</v>
      </c>
      <c r="H194" s="117" t="s">
        <v>117</v>
      </c>
      <c r="I194" s="92" t="s">
        <v>163</v>
      </c>
    </row>
    <row r="195" spans="1:19" x14ac:dyDescent="0.35">
      <c r="A195" s="4" t="s">
        <v>25</v>
      </c>
      <c r="B195" s="4">
        <f>-B194*0.05</f>
        <v>-175000</v>
      </c>
      <c r="C195" s="4">
        <f>-C194*0.05</f>
        <v>-175000</v>
      </c>
      <c r="D195" s="4" t="s">
        <v>15</v>
      </c>
      <c r="E195" s="4">
        <v>12</v>
      </c>
      <c r="F195" s="4">
        <v>0.9</v>
      </c>
      <c r="G195" s="4">
        <v>0.4</v>
      </c>
      <c r="H195" s="117" t="s">
        <v>26</v>
      </c>
      <c r="I195" s="91" t="s">
        <v>120</v>
      </c>
    </row>
    <row r="196" spans="1:19" x14ac:dyDescent="0.35">
      <c r="A196" s="4" t="s">
        <v>37</v>
      </c>
      <c r="B196" s="4">
        <v>650000</v>
      </c>
      <c r="C196" s="4">
        <v>650000</v>
      </c>
      <c r="D196" s="4" t="s">
        <v>38</v>
      </c>
      <c r="E196" s="4">
        <v>12</v>
      </c>
      <c r="F196" s="4">
        <v>0.9</v>
      </c>
      <c r="G196" s="4">
        <v>0.4</v>
      </c>
      <c r="H196" s="117" t="s">
        <v>16</v>
      </c>
      <c r="I196" s="91" t="s">
        <v>164</v>
      </c>
    </row>
    <row r="197" spans="1:19" x14ac:dyDescent="0.35">
      <c r="A197" s="4" t="s">
        <v>48</v>
      </c>
      <c r="B197" s="4">
        <v>2800</v>
      </c>
      <c r="C197" s="4">
        <v>2800</v>
      </c>
      <c r="D197" s="4" t="s">
        <v>49</v>
      </c>
      <c r="E197" s="4">
        <v>12</v>
      </c>
      <c r="F197" s="4">
        <v>0.9</v>
      </c>
      <c r="G197" s="4">
        <v>0.4</v>
      </c>
      <c r="H197" s="117" t="s">
        <v>124</v>
      </c>
      <c r="I197" s="92" t="s">
        <v>125</v>
      </c>
    </row>
    <row r="198" spans="1:19" x14ac:dyDescent="0.35">
      <c r="A198" s="4" t="s">
        <v>56</v>
      </c>
      <c r="B198" s="118">
        <f>32%/C140</f>
        <v>0.42666666666666669</v>
      </c>
      <c r="C198" s="118">
        <f>32%/C140</f>
        <v>0.42666666666666669</v>
      </c>
      <c r="D198" s="4" t="s">
        <v>57</v>
      </c>
      <c r="E198" s="4">
        <v>12</v>
      </c>
      <c r="F198" s="4">
        <v>0.9</v>
      </c>
      <c r="G198" s="4">
        <v>0.4</v>
      </c>
      <c r="H198" s="117" t="s">
        <v>16</v>
      </c>
      <c r="I198" s="91" t="s">
        <v>165</v>
      </c>
      <c r="N198" s="89"/>
    </row>
    <row r="199" spans="1:19" x14ac:dyDescent="0.35">
      <c r="A199" s="4" t="s">
        <v>64</v>
      </c>
      <c r="B199" s="4">
        <v>178500</v>
      </c>
      <c r="C199" s="4">
        <v>178500</v>
      </c>
      <c r="D199" s="4" t="s">
        <v>65</v>
      </c>
      <c r="E199" s="4">
        <v>12</v>
      </c>
      <c r="F199" s="4">
        <v>0.9</v>
      </c>
      <c r="G199" s="4">
        <v>0.4</v>
      </c>
      <c r="H199" s="117" t="s">
        <v>16</v>
      </c>
      <c r="I199" s="91" t="s">
        <v>165</v>
      </c>
      <c r="N199" s="89"/>
    </row>
    <row r="200" spans="1:19" x14ac:dyDescent="0.35">
      <c r="A200" s="4" t="s">
        <v>70</v>
      </c>
      <c r="B200" s="4">
        <v>30</v>
      </c>
      <c r="C200" s="4">
        <v>30</v>
      </c>
      <c r="D200" s="4" t="s">
        <v>42</v>
      </c>
      <c r="E200" s="4">
        <v>12</v>
      </c>
      <c r="F200" s="4">
        <v>0.9</v>
      </c>
      <c r="G200" s="4">
        <v>0.4</v>
      </c>
      <c r="H200" s="117" t="s">
        <v>130</v>
      </c>
      <c r="I200" s="91" t="s">
        <v>131</v>
      </c>
    </row>
    <row r="201" spans="1:19" x14ac:dyDescent="0.35">
      <c r="A201" s="4" t="s">
        <v>273</v>
      </c>
      <c r="B201" s="90">
        <v>3.9215686274509802</v>
      </c>
      <c r="C201" s="90">
        <v>3.9215686274509802</v>
      </c>
      <c r="D201" s="4" t="s">
        <v>76</v>
      </c>
      <c r="E201" s="4">
        <v>12</v>
      </c>
      <c r="F201" s="4">
        <v>0.9</v>
      </c>
      <c r="G201" s="4">
        <v>0.4</v>
      </c>
      <c r="H201" s="117" t="s">
        <v>16</v>
      </c>
      <c r="I201" s="92" t="s">
        <v>166</v>
      </c>
    </row>
    <row r="202" spans="1:19" x14ac:dyDescent="0.35">
      <c r="I202" s="91"/>
    </row>
    <row r="203" spans="1:19" x14ac:dyDescent="0.35">
      <c r="I203" s="91"/>
    </row>
    <row r="205" spans="1:19" s="71" customFormat="1" ht="31" x14ac:dyDescent="0.7">
      <c r="A205" s="71" t="s">
        <v>261</v>
      </c>
      <c r="K205" s="71" t="s">
        <v>0</v>
      </c>
    </row>
    <row r="206" spans="1:19" x14ac:dyDescent="0.35">
      <c r="B206" s="4" t="s">
        <v>398</v>
      </c>
      <c r="C206" s="72">
        <v>0.75</v>
      </c>
      <c r="D206" s="130" t="s">
        <v>401</v>
      </c>
    </row>
    <row r="207" spans="1:19" x14ac:dyDescent="0.35">
      <c r="B207" s="4" t="s">
        <v>399</v>
      </c>
      <c r="C207" s="72">
        <f>1-C206</f>
        <v>0.25</v>
      </c>
      <c r="D207" s="130" t="s">
        <v>400</v>
      </c>
      <c r="I207" s="89"/>
      <c r="K207" s="40"/>
    </row>
    <row r="208" spans="1:19" x14ac:dyDescent="0.35">
      <c r="A208" s="73" t="s">
        <v>167</v>
      </c>
      <c r="B208" s="119" t="s">
        <v>277</v>
      </c>
    </row>
    <row r="209" spans="1:47" ht="15" thickBot="1" x14ac:dyDescent="0.4">
      <c r="L209" s="118"/>
    </row>
    <row r="210" spans="1:47" x14ac:dyDescent="0.35">
      <c r="E210" s="4" t="s">
        <v>2</v>
      </c>
      <c r="H210" s="4" t="s">
        <v>3</v>
      </c>
      <c r="O210" s="4" t="s">
        <v>2</v>
      </c>
      <c r="R210" s="4" t="s">
        <v>3</v>
      </c>
      <c r="W210" s="75" t="s">
        <v>168</v>
      </c>
      <c r="X210" s="76">
        <v>2023</v>
      </c>
      <c r="Y210" s="76">
        <v>2050</v>
      </c>
      <c r="Z210" s="77" t="s">
        <v>5</v>
      </c>
      <c r="AB210" s="75" t="s">
        <v>274</v>
      </c>
      <c r="AC210" s="76">
        <v>2023</v>
      </c>
      <c r="AD210" s="76">
        <v>2050</v>
      </c>
      <c r="AE210" s="77" t="s">
        <v>5</v>
      </c>
      <c r="AG210" s="75" t="s">
        <v>169</v>
      </c>
      <c r="AH210" s="76">
        <v>2023</v>
      </c>
      <c r="AI210" s="76">
        <v>2050</v>
      </c>
      <c r="AJ210" s="77" t="s">
        <v>5</v>
      </c>
      <c r="AL210" s="75" t="s">
        <v>170</v>
      </c>
      <c r="AM210" s="76">
        <v>2023</v>
      </c>
      <c r="AN210" s="76">
        <v>2050</v>
      </c>
      <c r="AO210" s="77" t="s">
        <v>5</v>
      </c>
      <c r="AQ210" s="75" t="s">
        <v>171</v>
      </c>
      <c r="AR210" s="76">
        <v>2023</v>
      </c>
      <c r="AS210" s="76">
        <v>2050</v>
      </c>
      <c r="AT210" s="77" t="s">
        <v>5</v>
      </c>
    </row>
    <row r="211" spans="1:47" x14ac:dyDescent="0.35">
      <c r="A211" s="25" t="s">
        <v>172</v>
      </c>
      <c r="B211" s="4">
        <v>2023</v>
      </c>
      <c r="C211" s="4">
        <v>2050</v>
      </c>
      <c r="D211" s="4" t="s">
        <v>5</v>
      </c>
      <c r="E211" s="4" t="s">
        <v>8</v>
      </c>
      <c r="F211" s="4" t="s">
        <v>9</v>
      </c>
      <c r="G211" s="4" t="s">
        <v>10</v>
      </c>
      <c r="I211" s="91"/>
      <c r="K211" s="25" t="s">
        <v>275</v>
      </c>
      <c r="L211" s="4">
        <v>2023</v>
      </c>
      <c r="M211" s="4">
        <v>2050</v>
      </c>
      <c r="N211" s="4" t="s">
        <v>5</v>
      </c>
      <c r="O211" s="4" t="s">
        <v>8</v>
      </c>
      <c r="P211" s="4" t="s">
        <v>9</v>
      </c>
      <c r="Q211" s="4" t="s">
        <v>10</v>
      </c>
      <c r="W211" s="78" t="s">
        <v>12</v>
      </c>
      <c r="X211" s="83">
        <f>$B$4</f>
        <v>0</v>
      </c>
      <c r="Y211" s="83">
        <f>$C$4</f>
        <v>0</v>
      </c>
      <c r="Z211" s="79" t="s">
        <v>13</v>
      </c>
      <c r="AB211" s="78" t="s">
        <v>12</v>
      </c>
      <c r="AC211" s="83">
        <f>$B$4</f>
        <v>0</v>
      </c>
      <c r="AD211" s="83">
        <f>$C$4</f>
        <v>0</v>
      </c>
      <c r="AE211" s="79" t="s">
        <v>13</v>
      </c>
      <c r="AG211" s="78" t="s">
        <v>12</v>
      </c>
      <c r="AH211" s="83">
        <f>$B$4</f>
        <v>0</v>
      </c>
      <c r="AI211" s="83">
        <f>$C$4</f>
        <v>0</v>
      </c>
      <c r="AJ211" s="79" t="s">
        <v>13</v>
      </c>
      <c r="AL211" s="78" t="s">
        <v>12</v>
      </c>
      <c r="AM211" s="83">
        <f>$B$4</f>
        <v>0</v>
      </c>
      <c r="AN211" s="83">
        <f>$C$4</f>
        <v>0</v>
      </c>
      <c r="AO211" s="79" t="s">
        <v>13</v>
      </c>
      <c r="AQ211" s="78" t="s">
        <v>12</v>
      </c>
      <c r="AR211" s="83">
        <f>$B$4</f>
        <v>0</v>
      </c>
      <c r="AS211" s="83">
        <f>$C$4</f>
        <v>0</v>
      </c>
      <c r="AT211" s="79" t="s">
        <v>13</v>
      </c>
    </row>
    <row r="212" spans="1:47" x14ac:dyDescent="0.35">
      <c r="A212" s="4" t="s">
        <v>14</v>
      </c>
      <c r="B212" s="89">
        <v>1000000</v>
      </c>
      <c r="C212" s="4">
        <v>1000000</v>
      </c>
      <c r="D212" s="4" t="s">
        <v>15</v>
      </c>
      <c r="E212" s="4">
        <v>17</v>
      </c>
      <c r="F212" s="4">
        <v>0.9</v>
      </c>
      <c r="G212" s="4">
        <v>0.4</v>
      </c>
      <c r="H212" s="117" t="s">
        <v>295</v>
      </c>
      <c r="I212" s="92" t="s">
        <v>173</v>
      </c>
      <c r="K212" s="4" t="s">
        <v>18</v>
      </c>
      <c r="L212" s="4">
        <v>15000000</v>
      </c>
      <c r="M212" s="4">
        <v>15000000</v>
      </c>
      <c r="N212" s="4" t="s">
        <v>15</v>
      </c>
      <c r="O212" s="4">
        <v>17</v>
      </c>
      <c r="P212" s="4">
        <v>0.9</v>
      </c>
      <c r="Q212" s="4">
        <v>0.4</v>
      </c>
      <c r="R212" s="117" t="s">
        <v>279</v>
      </c>
      <c r="S212" s="91" t="s">
        <v>280</v>
      </c>
      <c r="W212" s="78" t="s">
        <v>20</v>
      </c>
      <c r="X212" s="4">
        <v>3.17</v>
      </c>
      <c r="Y212" s="4">
        <v>3.17</v>
      </c>
      <c r="Z212" s="79" t="s">
        <v>21</v>
      </c>
      <c r="AB212" s="78" t="s">
        <v>20</v>
      </c>
      <c r="AC212" s="4">
        <v>3.2</v>
      </c>
      <c r="AD212" s="4">
        <v>3.2</v>
      </c>
      <c r="AE212" s="79" t="s">
        <v>21</v>
      </c>
      <c r="AG212" s="78" t="s">
        <v>22</v>
      </c>
      <c r="AH212" s="4">
        <v>2.1999999999999999E-2</v>
      </c>
      <c r="AI212" s="4">
        <v>0</v>
      </c>
      <c r="AJ212" s="4" t="s">
        <v>23</v>
      </c>
      <c r="AL212" s="78" t="s">
        <v>22</v>
      </c>
      <c r="AM212" s="4">
        <v>2.1999999999999999E-2</v>
      </c>
      <c r="AN212" s="4">
        <v>0</v>
      </c>
      <c r="AO212" s="4" t="s">
        <v>23</v>
      </c>
      <c r="AQ212" s="78" t="s">
        <v>22</v>
      </c>
      <c r="AR212" s="4">
        <v>2.1999999999999999E-2</v>
      </c>
      <c r="AS212" s="4">
        <v>0</v>
      </c>
      <c r="AT212" s="4" t="s">
        <v>23</v>
      </c>
      <c r="AU212" s="4" t="s">
        <v>24</v>
      </c>
    </row>
    <row r="213" spans="1:47" x14ac:dyDescent="0.35">
      <c r="A213" s="4" t="s">
        <v>25</v>
      </c>
      <c r="B213" s="4">
        <f>-B212*0.1</f>
        <v>-100000</v>
      </c>
      <c r="C213" s="4">
        <f>-C212*0.1</f>
        <v>-100000</v>
      </c>
      <c r="D213" s="4" t="s">
        <v>15</v>
      </c>
      <c r="E213" s="4">
        <v>17</v>
      </c>
      <c r="F213" s="4">
        <v>0.9</v>
      </c>
      <c r="G213" s="4">
        <v>0.4</v>
      </c>
      <c r="H213" s="117" t="s">
        <v>295</v>
      </c>
      <c r="I213" s="91" t="s">
        <v>174</v>
      </c>
      <c r="K213" s="4" t="s">
        <v>28</v>
      </c>
      <c r="L213" s="4">
        <f>-L212*0.1</f>
        <v>-1500000</v>
      </c>
      <c r="M213" s="4">
        <f>-M212*0.05</f>
        <v>-750000</v>
      </c>
      <c r="N213" s="4" t="s">
        <v>15</v>
      </c>
      <c r="O213" s="4">
        <v>17</v>
      </c>
      <c r="P213" s="4">
        <v>0.9</v>
      </c>
      <c r="Q213" s="4">
        <v>0.4</v>
      </c>
      <c r="R213" s="117" t="s">
        <v>26</v>
      </c>
      <c r="S213" s="91" t="s">
        <v>175</v>
      </c>
      <c r="W213" s="78" t="s">
        <v>31</v>
      </c>
      <c r="X213" s="4">
        <v>11.89</v>
      </c>
      <c r="Y213" s="4">
        <v>11.89</v>
      </c>
      <c r="Z213" s="79" t="s">
        <v>32</v>
      </c>
      <c r="AB213" s="78" t="s">
        <v>31</v>
      </c>
      <c r="AC213" s="4">
        <v>11.39</v>
      </c>
      <c r="AD213" s="4">
        <v>11.39</v>
      </c>
      <c r="AE213" s="79" t="s">
        <v>32</v>
      </c>
      <c r="AG213" s="78" t="s">
        <v>33</v>
      </c>
      <c r="AH213" s="72">
        <v>0.53</v>
      </c>
      <c r="AI213" s="72">
        <v>0.61</v>
      </c>
      <c r="AJ213" s="79" t="s">
        <v>34</v>
      </c>
      <c r="AL213" s="78" t="s">
        <v>35</v>
      </c>
      <c r="AM213" s="72">
        <v>0.52</v>
      </c>
      <c r="AN213" s="72">
        <v>0.6</v>
      </c>
      <c r="AO213" s="79" t="s">
        <v>34</v>
      </c>
      <c r="AQ213" s="78" t="s">
        <v>35</v>
      </c>
      <c r="AR213" s="72">
        <v>0.45</v>
      </c>
      <c r="AS213" s="72">
        <v>0.56000000000000005</v>
      </c>
      <c r="AT213" s="79" t="s">
        <v>34</v>
      </c>
      <c r="AU213" s="4" t="s">
        <v>36</v>
      </c>
    </row>
    <row r="214" spans="1:47" x14ac:dyDescent="0.35">
      <c r="A214" s="4" t="s">
        <v>37</v>
      </c>
      <c r="B214" s="4">
        <f>(793000+106000+128000)/0.85</f>
        <v>1208235.294117647</v>
      </c>
      <c r="C214" s="4">
        <f>(793000+106000+128000)/0.85</f>
        <v>1208235.294117647</v>
      </c>
      <c r="D214" s="4" t="s">
        <v>38</v>
      </c>
      <c r="E214" s="4">
        <v>17</v>
      </c>
      <c r="F214" s="4">
        <v>0.9</v>
      </c>
      <c r="G214" s="4">
        <v>0.4</v>
      </c>
      <c r="H214" s="117" t="s">
        <v>320</v>
      </c>
      <c r="I214" s="91" t="s">
        <v>305</v>
      </c>
      <c r="K214" s="4" t="s">
        <v>41</v>
      </c>
      <c r="L214" s="4">
        <v>25</v>
      </c>
      <c r="M214" s="4">
        <v>25</v>
      </c>
      <c r="N214" s="4" t="s">
        <v>42</v>
      </c>
      <c r="O214" s="4">
        <v>17</v>
      </c>
      <c r="P214" s="4">
        <v>0.9</v>
      </c>
      <c r="Q214" s="4">
        <v>0.4</v>
      </c>
      <c r="R214" s="117" t="s">
        <v>43</v>
      </c>
      <c r="S214" s="91" t="s">
        <v>74</v>
      </c>
      <c r="W214" s="78" t="s">
        <v>45</v>
      </c>
      <c r="X214" s="65">
        <f>X212/X213</f>
        <v>0.26661059714045415</v>
      </c>
      <c r="Y214" s="65">
        <f>Y212/Y213</f>
        <v>0.26661059714045415</v>
      </c>
      <c r="Z214" s="79" t="s">
        <v>46</v>
      </c>
      <c r="AB214" s="78" t="s">
        <v>45</v>
      </c>
      <c r="AC214" s="65">
        <f>AC212/AC213</f>
        <v>0.28094820017559263</v>
      </c>
      <c r="AD214" s="65">
        <f>AD212/AD213</f>
        <v>0.28094820017559263</v>
      </c>
      <c r="AE214" s="79" t="s">
        <v>46</v>
      </c>
      <c r="AG214" s="78" t="s">
        <v>47</v>
      </c>
      <c r="AH214" s="85">
        <f>AH212/AH213</f>
        <v>4.1509433962264149E-2</v>
      </c>
      <c r="AI214" s="85">
        <f>AI212/AI213</f>
        <v>0</v>
      </c>
      <c r="AJ214" s="79" t="s">
        <v>46</v>
      </c>
      <c r="AL214" s="78" t="s">
        <v>22</v>
      </c>
      <c r="AM214" s="85">
        <f>AM212/AM213</f>
        <v>4.2307692307692303E-2</v>
      </c>
      <c r="AN214" s="85">
        <f>AN212/AN213</f>
        <v>0</v>
      </c>
      <c r="AO214" s="79" t="s">
        <v>46</v>
      </c>
      <c r="AQ214" s="78" t="s">
        <v>22</v>
      </c>
      <c r="AR214" s="85">
        <f>AR212/AR213</f>
        <v>4.8888888888888885E-2</v>
      </c>
      <c r="AS214" s="85">
        <f>AS212/AS213</f>
        <v>0</v>
      </c>
      <c r="AT214" s="79" t="s">
        <v>46</v>
      </c>
    </row>
    <row r="215" spans="1:47" x14ac:dyDescent="0.35">
      <c r="A215" s="4" t="s">
        <v>48</v>
      </c>
      <c r="B215" s="4">
        <v>9450</v>
      </c>
      <c r="C215" s="4">
        <v>9450</v>
      </c>
      <c r="D215" s="4" t="s">
        <v>49</v>
      </c>
      <c r="E215" s="4">
        <v>17</v>
      </c>
      <c r="F215" s="4">
        <v>0.9</v>
      </c>
      <c r="G215" s="4">
        <v>0.4</v>
      </c>
      <c r="H215" s="117" t="s">
        <v>319</v>
      </c>
      <c r="I215" s="91" t="s">
        <v>296</v>
      </c>
      <c r="K215" s="4" t="s">
        <v>52</v>
      </c>
      <c r="L215" s="4">
        <f>(84000+127000+122000+82000)/0.85</f>
        <v>488235.29411764705</v>
      </c>
      <c r="M215" s="4">
        <f>(84000+127000+122000+82000)/0.85</f>
        <v>488235.29411764705</v>
      </c>
      <c r="N215" s="4" t="s">
        <v>38</v>
      </c>
      <c r="O215" s="4">
        <v>17</v>
      </c>
      <c r="P215" s="4">
        <v>0.9</v>
      </c>
      <c r="Q215" s="4">
        <v>0.4</v>
      </c>
      <c r="R215" s="117" t="s">
        <v>9</v>
      </c>
      <c r="S215" s="91" t="s">
        <v>306</v>
      </c>
      <c r="W215" s="78" t="s">
        <v>54</v>
      </c>
      <c r="X215" s="4">
        <f>L216*X214</f>
        <v>172.49705634987384</v>
      </c>
      <c r="Y215" s="4">
        <f>M216*X214</f>
        <v>159.9663582842725</v>
      </c>
      <c r="Z215" s="79" t="s">
        <v>55</v>
      </c>
      <c r="AB215" s="78" t="s">
        <v>54</v>
      </c>
      <c r="AC215" s="4">
        <f>L228*AC214</f>
        <v>181.77348551360842</v>
      </c>
      <c r="AD215" s="4">
        <f>M228*AC214</f>
        <v>168.56892010535557</v>
      </c>
      <c r="AE215" s="79" t="s">
        <v>55</v>
      </c>
      <c r="AG215" s="78" t="s">
        <v>54</v>
      </c>
      <c r="AH215" s="4">
        <f>AH214*L241</f>
        <v>24.449056603773585</v>
      </c>
      <c r="AI215" s="4">
        <f>AI214*M241</f>
        <v>0</v>
      </c>
      <c r="AJ215" s="79" t="s">
        <v>55</v>
      </c>
      <c r="AL215" s="78" t="s">
        <v>54</v>
      </c>
      <c r="AM215" s="4">
        <f>AM214*L253</f>
        <v>24.919230769230765</v>
      </c>
      <c r="AN215" s="4">
        <f>AN214*M253</f>
        <v>0</v>
      </c>
      <c r="AO215" s="79" t="s">
        <v>55</v>
      </c>
      <c r="AQ215" s="78" t="s">
        <v>54</v>
      </c>
      <c r="AR215" s="4">
        <f>AR214*L265</f>
        <v>31.631111111111107</v>
      </c>
      <c r="AS215" s="4">
        <f>AS214*M265</f>
        <v>0</v>
      </c>
      <c r="AT215" s="79" t="s">
        <v>55</v>
      </c>
    </row>
    <row r="216" spans="1:47" ht="15" thickBot="1" x14ac:dyDescent="0.4">
      <c r="A216" s="4" t="s">
        <v>56</v>
      </c>
      <c r="B216" s="118">
        <f>51%/C206</f>
        <v>0.68</v>
      </c>
      <c r="C216" s="118">
        <f>51%/C206</f>
        <v>0.68</v>
      </c>
      <c r="D216" s="4" t="s">
        <v>57</v>
      </c>
      <c r="E216" s="4">
        <v>17</v>
      </c>
      <c r="F216" s="4">
        <v>0.9</v>
      </c>
      <c r="G216" s="4">
        <v>0.4</v>
      </c>
      <c r="H216" s="117" t="s">
        <v>16</v>
      </c>
      <c r="I216" s="91" t="s">
        <v>297</v>
      </c>
      <c r="K216" s="4" t="s">
        <v>59</v>
      </c>
      <c r="L216" s="4">
        <v>647</v>
      </c>
      <c r="M216" s="4">
        <v>600</v>
      </c>
      <c r="N216" s="4" t="s">
        <v>60</v>
      </c>
      <c r="O216" s="4">
        <v>17</v>
      </c>
      <c r="P216" s="4">
        <v>0.9</v>
      </c>
      <c r="Q216" s="4">
        <v>0.4</v>
      </c>
      <c r="R216" s="117" t="s">
        <v>43</v>
      </c>
      <c r="S216" s="91" t="s">
        <v>176</v>
      </c>
      <c r="W216" s="80" t="s">
        <v>62</v>
      </c>
      <c r="X216" s="81">
        <f>X211/1000*X215</f>
        <v>0</v>
      </c>
      <c r="Y216" s="81">
        <f>Y215/1000*Y211</f>
        <v>0</v>
      </c>
      <c r="Z216" s="82" t="s">
        <v>63</v>
      </c>
      <c r="AB216" s="80" t="s">
        <v>62</v>
      </c>
      <c r="AC216" s="81">
        <f>AC211/1000*AC215</f>
        <v>0</v>
      </c>
      <c r="AD216" s="81">
        <f>AD215/1000*AD211</f>
        <v>0</v>
      </c>
      <c r="AE216" s="82" t="s">
        <v>63</v>
      </c>
      <c r="AG216" s="80" t="s">
        <v>62</v>
      </c>
      <c r="AH216" s="81">
        <f>AH211/1000*AH215</f>
        <v>0</v>
      </c>
      <c r="AI216" s="81">
        <f>AI215/1000*AI211</f>
        <v>0</v>
      </c>
      <c r="AJ216" s="82" t="s">
        <v>63</v>
      </c>
      <c r="AL216" s="80" t="s">
        <v>62</v>
      </c>
      <c r="AM216" s="81">
        <f>AM211/1000*AM215</f>
        <v>0</v>
      </c>
      <c r="AN216" s="81">
        <f>AN215/1000*AN211</f>
        <v>0</v>
      </c>
      <c r="AO216" s="82" t="s">
        <v>63</v>
      </c>
      <c r="AQ216" s="80" t="s">
        <v>62</v>
      </c>
      <c r="AR216" s="81">
        <f>AR211/1000*AR215</f>
        <v>0</v>
      </c>
      <c r="AS216" s="81">
        <f>AS215/1000*AS211</f>
        <v>0</v>
      </c>
      <c r="AT216" s="82" t="s">
        <v>63</v>
      </c>
    </row>
    <row r="217" spans="1:47" x14ac:dyDescent="0.35">
      <c r="A217" s="4" t="s">
        <v>64</v>
      </c>
      <c r="B217" s="4">
        <v>120000</v>
      </c>
      <c r="C217" s="4">
        <v>120000</v>
      </c>
      <c r="D217" s="4" t="s">
        <v>65</v>
      </c>
      <c r="E217" s="4">
        <v>17</v>
      </c>
      <c r="F217" s="4">
        <v>0.9</v>
      </c>
      <c r="G217" s="4">
        <v>0.4</v>
      </c>
      <c r="H217" s="117" t="s">
        <v>301</v>
      </c>
      <c r="I217" s="91" t="s">
        <v>302</v>
      </c>
      <c r="K217" s="4" t="s">
        <v>67</v>
      </c>
      <c r="L217" s="4">
        <f t="shared" ref="L217:Q217" si="7">B6</f>
        <v>0.06</v>
      </c>
      <c r="M217" s="4">
        <f t="shared" si="7"/>
        <v>0.06</v>
      </c>
      <c r="N217" s="4" t="str">
        <f t="shared" si="7"/>
        <v>[€/kWh]</v>
      </c>
      <c r="O217" s="4">
        <f t="shared" si="7"/>
        <v>17</v>
      </c>
      <c r="P217" s="4">
        <f t="shared" si="7"/>
        <v>0.9</v>
      </c>
      <c r="Q217" s="4">
        <f t="shared" si="7"/>
        <v>0.4</v>
      </c>
      <c r="R217" s="117" t="s">
        <v>258</v>
      </c>
      <c r="S217" s="92" t="s">
        <v>289</v>
      </c>
    </row>
    <row r="218" spans="1:47" x14ac:dyDescent="0.35">
      <c r="A218" s="4" t="s">
        <v>70</v>
      </c>
      <c r="B218" s="4">
        <v>25</v>
      </c>
      <c r="C218" s="4">
        <v>25</v>
      </c>
      <c r="D218" s="4" t="s">
        <v>42</v>
      </c>
      <c r="E218" s="4">
        <v>17</v>
      </c>
      <c r="F218" s="4">
        <v>0.9</v>
      </c>
      <c r="G218" s="4">
        <v>0.4</v>
      </c>
      <c r="H218" s="117" t="s">
        <v>43</v>
      </c>
      <c r="I218" s="91" t="s">
        <v>74</v>
      </c>
      <c r="K218" s="4" t="s">
        <v>73</v>
      </c>
      <c r="L218" s="118">
        <v>0</v>
      </c>
      <c r="M218" s="118">
        <v>0</v>
      </c>
      <c r="N218" s="4" t="s">
        <v>57</v>
      </c>
      <c r="O218" s="4">
        <v>17</v>
      </c>
      <c r="P218" s="4">
        <v>0.9</v>
      </c>
      <c r="Q218" s="4">
        <v>0.4</v>
      </c>
      <c r="R218" s="117" t="s">
        <v>43</v>
      </c>
      <c r="S218" s="91" t="s">
        <v>74</v>
      </c>
    </row>
    <row r="219" spans="1:47" x14ac:dyDescent="0.35">
      <c r="A219" s="4" t="s">
        <v>260</v>
      </c>
      <c r="B219" s="4">
        <f>(100000*(1+(15380-15380)/15380)/118231)</f>
        <v>0.8458018624557011</v>
      </c>
      <c r="C219" s="4">
        <f>(100000*(1+(15380-15380)/15380)/118231)</f>
        <v>0.8458018624557011</v>
      </c>
      <c r="D219" s="4" t="s">
        <v>76</v>
      </c>
      <c r="E219" s="4">
        <v>17</v>
      </c>
      <c r="F219" s="4">
        <v>0.9</v>
      </c>
      <c r="G219" s="4">
        <v>0.4</v>
      </c>
      <c r="H219" s="117" t="s">
        <v>16</v>
      </c>
      <c r="I219" s="91" t="s">
        <v>304</v>
      </c>
      <c r="K219" s="4" t="s">
        <v>79</v>
      </c>
      <c r="L219" s="118">
        <v>0.06</v>
      </c>
      <c r="M219" s="118">
        <v>0.06</v>
      </c>
      <c r="N219" s="4" t="s">
        <v>57</v>
      </c>
      <c r="O219" s="4">
        <v>17</v>
      </c>
      <c r="P219" s="4">
        <v>0.9</v>
      </c>
      <c r="Q219" s="4">
        <v>0.4</v>
      </c>
      <c r="R219" s="117" t="s">
        <v>43</v>
      </c>
      <c r="S219" s="91" t="s">
        <v>74</v>
      </c>
      <c r="W219" s="4" t="s">
        <v>26</v>
      </c>
      <c r="X219" s="4" t="s">
        <v>80</v>
      </c>
    </row>
    <row r="220" spans="1:47" x14ac:dyDescent="0.35">
      <c r="E220" s="4">
        <f>100000/118231</f>
        <v>0.8458018624557011</v>
      </c>
      <c r="I220" s="91"/>
      <c r="K220" s="4" t="s">
        <v>540</v>
      </c>
      <c r="L220" s="4">
        <f>X216</f>
        <v>0</v>
      </c>
      <c r="M220" s="4">
        <f>Y216</f>
        <v>0</v>
      </c>
      <c r="N220" s="4" t="s">
        <v>76</v>
      </c>
      <c r="O220" s="4">
        <f>$E$4</f>
        <v>17</v>
      </c>
      <c r="P220" s="4">
        <f>$F$4</f>
        <v>0.9</v>
      </c>
      <c r="Q220" s="4">
        <f>$G$4</f>
        <v>0.4</v>
      </c>
      <c r="R220" s="117" t="s">
        <v>308</v>
      </c>
      <c r="S220" s="92" t="s">
        <v>177</v>
      </c>
      <c r="W220" s="4" t="s">
        <v>9</v>
      </c>
      <c r="X220" s="4" t="s">
        <v>178</v>
      </c>
    </row>
    <row r="221" spans="1:47" x14ac:dyDescent="0.35">
      <c r="I221" s="91"/>
      <c r="S221" s="91"/>
      <c r="W221" s="4" t="s">
        <v>16</v>
      </c>
      <c r="X221" s="4" t="s">
        <v>84</v>
      </c>
    </row>
    <row r="222" spans="1:47" x14ac:dyDescent="0.35">
      <c r="E222" s="4" t="s">
        <v>2</v>
      </c>
      <c r="H222" s="4" t="s">
        <v>3</v>
      </c>
      <c r="I222" s="91"/>
      <c r="O222" s="4" t="s">
        <v>2</v>
      </c>
      <c r="R222" s="4" t="s">
        <v>3</v>
      </c>
      <c r="W222" s="4" t="s">
        <v>43</v>
      </c>
      <c r="X222" s="4" t="s">
        <v>87</v>
      </c>
    </row>
    <row r="223" spans="1:47" x14ac:dyDescent="0.35">
      <c r="A223" s="25" t="s">
        <v>179</v>
      </c>
      <c r="B223" s="4">
        <v>2023</v>
      </c>
      <c r="C223" s="4">
        <v>2050</v>
      </c>
      <c r="D223" s="4" t="s">
        <v>5</v>
      </c>
      <c r="E223" s="4" t="s">
        <v>8</v>
      </c>
      <c r="F223" s="4" t="s">
        <v>9</v>
      </c>
      <c r="G223" s="4" t="s">
        <v>10</v>
      </c>
      <c r="I223" s="91"/>
      <c r="K223" s="25" t="s">
        <v>276</v>
      </c>
      <c r="L223" s="4">
        <v>2023</v>
      </c>
      <c r="M223" s="4">
        <v>2050</v>
      </c>
      <c r="N223" s="4" t="s">
        <v>5</v>
      </c>
      <c r="O223" s="4" t="s">
        <v>8</v>
      </c>
      <c r="P223" s="4" t="s">
        <v>9</v>
      </c>
      <c r="Q223" s="4" t="s">
        <v>10</v>
      </c>
      <c r="W223" s="4" t="s">
        <v>77</v>
      </c>
      <c r="X223" s="4" t="s">
        <v>91</v>
      </c>
    </row>
    <row r="224" spans="1:47" x14ac:dyDescent="0.35">
      <c r="A224" s="4" t="s">
        <v>14</v>
      </c>
      <c r="B224" s="89">
        <v>5000000</v>
      </c>
      <c r="C224" s="4">
        <v>5000000</v>
      </c>
      <c r="D224" s="4" t="s">
        <v>15</v>
      </c>
      <c r="E224" s="4">
        <v>17</v>
      </c>
      <c r="F224" s="4">
        <v>0.9</v>
      </c>
      <c r="G224" s="4">
        <v>0.4</v>
      </c>
      <c r="H224" s="117" t="s">
        <v>295</v>
      </c>
      <c r="I224" s="92" t="s">
        <v>173</v>
      </c>
      <c r="K224" s="4" t="s">
        <v>18</v>
      </c>
      <c r="L224" s="4">
        <v>15000000</v>
      </c>
      <c r="M224" s="4">
        <v>15000000</v>
      </c>
      <c r="N224" s="4" t="s">
        <v>15</v>
      </c>
      <c r="O224" s="4">
        <v>17</v>
      </c>
      <c r="P224" s="4">
        <v>0.9</v>
      </c>
      <c r="Q224" s="4">
        <v>0.4</v>
      </c>
      <c r="R224" s="117" t="s">
        <v>316</v>
      </c>
      <c r="S224" s="91" t="s">
        <v>280</v>
      </c>
      <c r="W224" s="4" t="s">
        <v>71</v>
      </c>
      <c r="X224" s="4" t="s">
        <v>180</v>
      </c>
    </row>
    <row r="225" spans="1:24" x14ac:dyDescent="0.35">
      <c r="A225" s="4" t="s">
        <v>25</v>
      </c>
      <c r="B225" s="4">
        <f>-B224*0.1</f>
        <v>-500000</v>
      </c>
      <c r="C225" s="4">
        <f>-C224*0.1</f>
        <v>-500000</v>
      </c>
      <c r="D225" s="4" t="s">
        <v>15</v>
      </c>
      <c r="E225" s="4">
        <v>17</v>
      </c>
      <c r="F225" s="4">
        <v>0.9</v>
      </c>
      <c r="G225" s="4">
        <v>0.4</v>
      </c>
      <c r="H225" s="117" t="s">
        <v>295</v>
      </c>
      <c r="I225" s="91" t="s">
        <v>174</v>
      </c>
      <c r="K225" s="4" t="s">
        <v>28</v>
      </c>
      <c r="L225" s="4">
        <f>-L224*0.1</f>
        <v>-1500000</v>
      </c>
      <c r="M225" s="4">
        <f>-M224*0.05</f>
        <v>-750000</v>
      </c>
      <c r="N225" s="4" t="s">
        <v>15</v>
      </c>
      <c r="O225" s="4">
        <v>17</v>
      </c>
      <c r="P225" s="4">
        <v>0.9</v>
      </c>
      <c r="Q225" s="4">
        <v>0.4</v>
      </c>
      <c r="R225" s="117" t="s">
        <v>26</v>
      </c>
      <c r="S225" s="91" t="s">
        <v>175</v>
      </c>
      <c r="W225" s="4" t="s">
        <v>81</v>
      </c>
      <c r="X225" s="4" t="s">
        <v>136</v>
      </c>
    </row>
    <row r="226" spans="1:24" x14ac:dyDescent="0.35">
      <c r="A226" s="4" t="s">
        <v>37</v>
      </c>
      <c r="B226" s="4">
        <f>(793000+106000+128000)/0.85</f>
        <v>1208235.294117647</v>
      </c>
      <c r="C226" s="4">
        <f>(793000+106000+128000)/0.85</f>
        <v>1208235.294117647</v>
      </c>
      <c r="D226" s="4" t="s">
        <v>38</v>
      </c>
      <c r="E226" s="4">
        <v>17</v>
      </c>
      <c r="F226" s="4">
        <v>0.9</v>
      </c>
      <c r="G226" s="4">
        <v>0.4</v>
      </c>
      <c r="H226" s="117" t="s">
        <v>320</v>
      </c>
      <c r="I226" s="91" t="s">
        <v>305</v>
      </c>
      <c r="K226" s="4" t="s">
        <v>41</v>
      </c>
      <c r="L226" s="4">
        <v>25</v>
      </c>
      <c r="M226" s="4">
        <v>25</v>
      </c>
      <c r="N226" s="4" t="s">
        <v>42</v>
      </c>
      <c r="O226" s="4">
        <v>17</v>
      </c>
      <c r="P226" s="4">
        <v>0.9</v>
      </c>
      <c r="Q226" s="4">
        <v>0.4</v>
      </c>
      <c r="R226" s="117" t="s">
        <v>43</v>
      </c>
      <c r="S226" s="91" t="s">
        <v>74</v>
      </c>
      <c r="W226" s="4" t="s">
        <v>94</v>
      </c>
      <c r="X226" s="4" t="s">
        <v>98</v>
      </c>
    </row>
    <row r="227" spans="1:24" x14ac:dyDescent="0.35">
      <c r="A227" s="4" t="s">
        <v>48</v>
      </c>
      <c r="B227" s="4">
        <v>9450</v>
      </c>
      <c r="C227" s="4">
        <v>9450</v>
      </c>
      <c r="D227" s="4" t="s">
        <v>49</v>
      </c>
      <c r="E227" s="4">
        <v>17</v>
      </c>
      <c r="F227" s="4">
        <v>0.9</v>
      </c>
      <c r="G227" s="4">
        <v>0.4</v>
      </c>
      <c r="H227" s="117" t="s">
        <v>319</v>
      </c>
      <c r="I227" s="91" t="s">
        <v>296</v>
      </c>
      <c r="K227" s="4" t="s">
        <v>52</v>
      </c>
      <c r="L227" s="4">
        <f>(84000+127000+122000+82000)/0.85</f>
        <v>488235.29411764705</v>
      </c>
      <c r="M227" s="4">
        <f>(84000+127000+122000+82000)/0.85</f>
        <v>488235.29411764705</v>
      </c>
      <c r="N227" s="4" t="s">
        <v>38</v>
      </c>
      <c r="O227" s="4">
        <v>17</v>
      </c>
      <c r="P227" s="4">
        <v>0.9</v>
      </c>
      <c r="Q227" s="4">
        <v>0.4</v>
      </c>
      <c r="R227" s="117" t="s">
        <v>9</v>
      </c>
      <c r="S227" s="91" t="s">
        <v>306</v>
      </c>
      <c r="W227" s="4" t="s">
        <v>96</v>
      </c>
      <c r="X227" s="4" t="s">
        <v>24</v>
      </c>
    </row>
    <row r="228" spans="1:24" x14ac:dyDescent="0.35">
      <c r="A228" s="4" t="s">
        <v>56</v>
      </c>
      <c r="B228" s="118">
        <f>43%/C206</f>
        <v>0.57333333333333336</v>
      </c>
      <c r="C228" s="118">
        <f>43%/C206</f>
        <v>0.57333333333333336</v>
      </c>
      <c r="D228" s="4" t="s">
        <v>57</v>
      </c>
      <c r="E228" s="4">
        <v>17</v>
      </c>
      <c r="F228" s="4">
        <v>0.9</v>
      </c>
      <c r="G228" s="4">
        <v>0.4</v>
      </c>
      <c r="H228" s="117" t="s">
        <v>16</v>
      </c>
      <c r="I228" s="91" t="s">
        <v>298</v>
      </c>
      <c r="K228" s="4" t="s">
        <v>59</v>
      </c>
      <c r="L228" s="4">
        <v>647</v>
      </c>
      <c r="M228" s="4">
        <v>600</v>
      </c>
      <c r="N228" s="4" t="s">
        <v>60</v>
      </c>
      <c r="O228" s="4">
        <v>17</v>
      </c>
      <c r="P228" s="4">
        <v>0.9</v>
      </c>
      <c r="Q228" s="4">
        <v>0.4</v>
      </c>
      <c r="R228" s="117" t="s">
        <v>43</v>
      </c>
      <c r="S228" s="91" t="s">
        <v>176</v>
      </c>
      <c r="W228" s="4" t="s">
        <v>69</v>
      </c>
      <c r="X228" s="4" t="s">
        <v>36</v>
      </c>
    </row>
    <row r="229" spans="1:24" x14ac:dyDescent="0.35">
      <c r="A229" s="4" t="s">
        <v>64</v>
      </c>
      <c r="B229" s="4">
        <v>120000</v>
      </c>
      <c r="C229" s="4">
        <v>120000</v>
      </c>
      <c r="D229" s="4" t="s">
        <v>65</v>
      </c>
      <c r="E229" s="4">
        <v>17</v>
      </c>
      <c r="F229" s="4">
        <v>0.9</v>
      </c>
      <c r="G229" s="4">
        <v>0.4</v>
      </c>
      <c r="H229" s="117" t="s">
        <v>301</v>
      </c>
      <c r="I229" s="91" t="s">
        <v>302</v>
      </c>
      <c r="K229" s="4" t="s">
        <v>67</v>
      </c>
      <c r="L229" s="4">
        <f t="shared" ref="L229:Q229" si="8">B7</f>
        <v>3.1399999999999997E-2</v>
      </c>
      <c r="M229" s="4">
        <f t="shared" si="8"/>
        <v>3.1399999999999997E-2</v>
      </c>
      <c r="N229" s="4" t="str">
        <f t="shared" si="8"/>
        <v>[€/kWh]</v>
      </c>
      <c r="O229" s="4">
        <f t="shared" si="8"/>
        <v>17</v>
      </c>
      <c r="P229" s="4">
        <f t="shared" si="8"/>
        <v>0.9</v>
      </c>
      <c r="Q229" s="4">
        <f t="shared" si="8"/>
        <v>0.4</v>
      </c>
      <c r="R229" s="117" t="s">
        <v>43</v>
      </c>
      <c r="S229" s="92" t="s">
        <v>290</v>
      </c>
      <c r="W229" s="4" t="s">
        <v>10</v>
      </c>
      <c r="X229" s="4" t="s">
        <v>134</v>
      </c>
    </row>
    <row r="230" spans="1:24" x14ac:dyDescent="0.35">
      <c r="A230" s="4" t="s">
        <v>70</v>
      </c>
      <c r="B230" s="4">
        <v>25</v>
      </c>
      <c r="C230" s="4">
        <v>25</v>
      </c>
      <c r="D230" s="4" t="s">
        <v>42</v>
      </c>
      <c r="E230" s="4">
        <v>17</v>
      </c>
      <c r="F230" s="4">
        <v>0.9</v>
      </c>
      <c r="G230" s="4">
        <v>0.4</v>
      </c>
      <c r="H230" s="117" t="s">
        <v>43</v>
      </c>
      <c r="I230" s="91" t="s">
        <v>74</v>
      </c>
      <c r="K230" s="4" t="s">
        <v>73</v>
      </c>
      <c r="L230" s="118">
        <v>0</v>
      </c>
      <c r="M230" s="118">
        <v>0</v>
      </c>
      <c r="N230" s="4" t="s">
        <v>57</v>
      </c>
      <c r="O230" s="4">
        <v>17</v>
      </c>
      <c r="P230" s="4">
        <v>0.9</v>
      </c>
      <c r="Q230" s="4">
        <v>0.4</v>
      </c>
      <c r="R230" s="117" t="s">
        <v>43</v>
      </c>
      <c r="S230" s="91" t="s">
        <v>74</v>
      </c>
      <c r="W230" s="4" t="s">
        <v>249</v>
      </c>
      <c r="X230" s="4" t="s">
        <v>278</v>
      </c>
    </row>
    <row r="231" spans="1:24" x14ac:dyDescent="0.35">
      <c r="A231" s="4" t="s">
        <v>260</v>
      </c>
      <c r="B231" s="4">
        <f>(100000*(1+(30707-15380)/15380)/118231)</f>
        <v>1.6886890630966982</v>
      </c>
      <c r="C231" s="4">
        <f>(100000*(1+(30707-15380)/15380)/118231)</f>
        <v>1.6886890630966982</v>
      </c>
      <c r="D231" s="4" t="s">
        <v>76</v>
      </c>
      <c r="E231" s="4">
        <v>17</v>
      </c>
      <c r="F231" s="4">
        <v>0.9</v>
      </c>
      <c r="G231" s="4">
        <v>0.4</v>
      </c>
      <c r="H231" s="117" t="s">
        <v>16</v>
      </c>
      <c r="I231" s="91" t="s">
        <v>304</v>
      </c>
      <c r="K231" s="4" t="s">
        <v>79</v>
      </c>
      <c r="L231" s="118">
        <v>0.06</v>
      </c>
      <c r="M231" s="118">
        <v>0.06</v>
      </c>
      <c r="N231" s="4" t="s">
        <v>57</v>
      </c>
      <c r="O231" s="4">
        <v>17</v>
      </c>
      <c r="P231" s="4">
        <v>0.9</v>
      </c>
      <c r="Q231" s="4">
        <v>0.4</v>
      </c>
      <c r="R231" s="117" t="s">
        <v>43</v>
      </c>
      <c r="S231" s="91" t="s">
        <v>74</v>
      </c>
      <c r="W231" s="4" t="s">
        <v>253</v>
      </c>
      <c r="X231" s="4" t="s">
        <v>283</v>
      </c>
    </row>
    <row r="232" spans="1:24" x14ac:dyDescent="0.35">
      <c r="I232" s="91"/>
      <c r="K232" s="4" t="s">
        <v>540</v>
      </c>
      <c r="L232" s="4">
        <f>AC216</f>
        <v>0</v>
      </c>
      <c r="M232" s="4">
        <f>AD216</f>
        <v>0</v>
      </c>
      <c r="N232" s="4" t="s">
        <v>76</v>
      </c>
      <c r="O232" s="4">
        <f>$E$4</f>
        <v>17</v>
      </c>
      <c r="P232" s="4">
        <f>$F$4</f>
        <v>0.9</v>
      </c>
      <c r="Q232" s="4">
        <f>$G$4</f>
        <v>0.4</v>
      </c>
      <c r="R232" s="117" t="s">
        <v>308</v>
      </c>
      <c r="S232" s="92" t="s">
        <v>282</v>
      </c>
      <c r="W232" s="4" t="s">
        <v>258</v>
      </c>
      <c r="X232" s="4" t="s">
        <v>291</v>
      </c>
    </row>
    <row r="233" spans="1:24" x14ac:dyDescent="0.35">
      <c r="I233" s="91"/>
    </row>
    <row r="234" spans="1:24" x14ac:dyDescent="0.35">
      <c r="E234" s="4" t="s">
        <v>2</v>
      </c>
      <c r="H234" s="4" t="s">
        <v>3</v>
      </c>
      <c r="I234" s="91"/>
    </row>
    <row r="235" spans="1:24" x14ac:dyDescent="0.35">
      <c r="A235" s="25" t="s">
        <v>184</v>
      </c>
      <c r="B235" s="4">
        <v>2023</v>
      </c>
      <c r="C235" s="4">
        <v>2050</v>
      </c>
      <c r="D235" s="4" t="s">
        <v>5</v>
      </c>
      <c r="E235" s="4" t="s">
        <v>8</v>
      </c>
      <c r="F235" s="4" t="s">
        <v>9</v>
      </c>
      <c r="G235" s="4" t="s">
        <v>10</v>
      </c>
      <c r="I235" s="91"/>
      <c r="O235" s="4" t="s">
        <v>2</v>
      </c>
      <c r="R235" s="4" t="s">
        <v>3</v>
      </c>
      <c r="S235" s="91"/>
    </row>
    <row r="236" spans="1:24" x14ac:dyDescent="0.35">
      <c r="A236" s="4" t="s">
        <v>14</v>
      </c>
      <c r="B236" s="89">
        <v>1000000</v>
      </c>
      <c r="C236" s="4">
        <v>1000000</v>
      </c>
      <c r="D236" s="4" t="s">
        <v>15</v>
      </c>
      <c r="E236" s="4">
        <v>17</v>
      </c>
      <c r="F236" s="4">
        <v>0.9</v>
      </c>
      <c r="G236" s="4">
        <v>0.4</v>
      </c>
      <c r="H236" s="117" t="s">
        <v>295</v>
      </c>
      <c r="I236" s="92" t="s">
        <v>173</v>
      </c>
      <c r="K236" s="25" t="s">
        <v>102</v>
      </c>
      <c r="L236" s="4">
        <v>2023</v>
      </c>
      <c r="M236" s="4">
        <v>2050</v>
      </c>
      <c r="N236" s="4" t="s">
        <v>5</v>
      </c>
      <c r="O236" s="4" t="s">
        <v>8</v>
      </c>
      <c r="P236" s="4" t="s">
        <v>9</v>
      </c>
      <c r="Q236" s="4" t="s">
        <v>10</v>
      </c>
      <c r="S236" s="91"/>
    </row>
    <row r="237" spans="1:24" x14ac:dyDescent="0.35">
      <c r="A237" s="4" t="s">
        <v>25</v>
      </c>
      <c r="B237" s="4">
        <f>-B236*0.1</f>
        <v>-100000</v>
      </c>
      <c r="C237" s="4">
        <f>-C236*0.1</f>
        <v>-100000</v>
      </c>
      <c r="D237" s="4" t="s">
        <v>15</v>
      </c>
      <c r="E237" s="4">
        <v>17</v>
      </c>
      <c r="F237" s="4">
        <v>0.9</v>
      </c>
      <c r="G237" s="4">
        <v>0.4</v>
      </c>
      <c r="H237" s="117" t="s">
        <v>295</v>
      </c>
      <c r="I237" s="91" t="s">
        <v>174</v>
      </c>
      <c r="K237" s="4" t="s">
        <v>18</v>
      </c>
      <c r="L237" s="4">
        <f>L212*2</f>
        <v>30000000</v>
      </c>
      <c r="M237" s="4">
        <f>M212*1.3</f>
        <v>19500000</v>
      </c>
      <c r="N237" s="4" t="s">
        <v>15</v>
      </c>
      <c r="O237" s="4">
        <v>17</v>
      </c>
      <c r="P237" s="4">
        <v>0.9</v>
      </c>
      <c r="Q237" s="4">
        <v>0.4</v>
      </c>
      <c r="R237" s="117" t="s">
        <v>317</v>
      </c>
      <c r="S237" s="91" t="s">
        <v>281</v>
      </c>
    </row>
    <row r="238" spans="1:24" x14ac:dyDescent="0.35">
      <c r="A238" s="4" t="s">
        <v>37</v>
      </c>
      <c r="B238" s="4">
        <f>(793000+106000+128000)/0.85</f>
        <v>1208235.294117647</v>
      </c>
      <c r="C238" s="4">
        <f>(793000+106000+128000)/0.85</f>
        <v>1208235.294117647</v>
      </c>
      <c r="D238" s="4" t="s">
        <v>38</v>
      </c>
      <c r="E238" s="4">
        <v>17</v>
      </c>
      <c r="F238" s="4">
        <v>0.9</v>
      </c>
      <c r="G238" s="4">
        <v>0.4</v>
      </c>
      <c r="H238" s="117" t="s">
        <v>320</v>
      </c>
      <c r="I238" s="91" t="s">
        <v>305</v>
      </c>
      <c r="K238" s="4" t="s">
        <v>28</v>
      </c>
      <c r="L238" s="4">
        <f>-L237*0.05</f>
        <v>-1500000</v>
      </c>
      <c r="M238" s="4">
        <f>-M237*0.1</f>
        <v>-1950000</v>
      </c>
      <c r="N238" s="4" t="s">
        <v>15</v>
      </c>
      <c r="O238" s="4">
        <v>17</v>
      </c>
      <c r="P238" s="4">
        <v>0.9</v>
      </c>
      <c r="Q238" s="4">
        <v>0.4</v>
      </c>
      <c r="R238" s="117" t="s">
        <v>26</v>
      </c>
      <c r="S238" s="91" t="s">
        <v>181</v>
      </c>
    </row>
    <row r="239" spans="1:24" x14ac:dyDescent="0.35">
      <c r="A239" s="4" t="s">
        <v>48</v>
      </c>
      <c r="B239" s="4">
        <v>9450</v>
      </c>
      <c r="C239" s="4">
        <v>9450</v>
      </c>
      <c r="D239" s="4" t="s">
        <v>49</v>
      </c>
      <c r="E239" s="4">
        <v>17</v>
      </c>
      <c r="F239" s="4">
        <v>0.9</v>
      </c>
      <c r="G239" s="4">
        <v>0.4</v>
      </c>
      <c r="H239" s="117" t="s">
        <v>319</v>
      </c>
      <c r="I239" s="91" t="s">
        <v>296</v>
      </c>
      <c r="K239" s="4" t="s">
        <v>41</v>
      </c>
      <c r="L239" s="4">
        <v>25</v>
      </c>
      <c r="M239" s="4">
        <v>25</v>
      </c>
      <c r="N239" s="4" t="s">
        <v>42</v>
      </c>
      <c r="O239" s="4">
        <v>17</v>
      </c>
      <c r="P239" s="4">
        <v>0.9</v>
      </c>
      <c r="Q239" s="4">
        <v>0.4</v>
      </c>
      <c r="R239" s="117" t="s">
        <v>43</v>
      </c>
      <c r="S239" s="91" t="s">
        <v>74</v>
      </c>
    </row>
    <row r="240" spans="1:24" x14ac:dyDescent="0.35">
      <c r="A240" s="4" t="s">
        <v>56</v>
      </c>
      <c r="B240" s="118">
        <f>39%/C206</f>
        <v>0.52</v>
      </c>
      <c r="C240" s="118">
        <f>39%/C206</f>
        <v>0.52</v>
      </c>
      <c r="D240" s="4" t="s">
        <v>57</v>
      </c>
      <c r="E240" s="4">
        <v>17</v>
      </c>
      <c r="F240" s="4">
        <v>0.9</v>
      </c>
      <c r="G240" s="4">
        <v>0.4</v>
      </c>
      <c r="H240" s="117" t="s">
        <v>16</v>
      </c>
      <c r="I240" s="91" t="s">
        <v>299</v>
      </c>
      <c r="K240" s="4" t="s">
        <v>52</v>
      </c>
      <c r="L240" s="4">
        <f>(84000+122000+82000)/0.85</f>
        <v>338823.5294117647</v>
      </c>
      <c r="M240" s="4">
        <f>(84000+122000+82000)/0.85</f>
        <v>338823.5294117647</v>
      </c>
      <c r="N240" s="4" t="s">
        <v>38</v>
      </c>
      <c r="O240" s="4">
        <v>17</v>
      </c>
      <c r="P240" s="4">
        <v>0.9</v>
      </c>
      <c r="Q240" s="4">
        <v>0.4</v>
      </c>
      <c r="R240" s="117" t="s">
        <v>9</v>
      </c>
      <c r="S240" s="91" t="s">
        <v>307</v>
      </c>
    </row>
    <row r="241" spans="1:19" x14ac:dyDescent="0.35">
      <c r="A241" s="4" t="s">
        <v>64</v>
      </c>
      <c r="B241" s="4">
        <v>120000</v>
      </c>
      <c r="C241" s="4">
        <v>120000</v>
      </c>
      <c r="D241" s="4" t="s">
        <v>65</v>
      </c>
      <c r="E241" s="4">
        <v>17</v>
      </c>
      <c r="F241" s="4">
        <v>0.9</v>
      </c>
      <c r="G241" s="4">
        <v>0.4</v>
      </c>
      <c r="H241" s="117" t="s">
        <v>301</v>
      </c>
      <c r="I241" s="91" t="s">
        <v>302</v>
      </c>
      <c r="K241" s="4" t="s">
        <v>59</v>
      </c>
      <c r="L241" s="4">
        <v>589</v>
      </c>
      <c r="M241" s="4">
        <v>519</v>
      </c>
      <c r="N241" s="4" t="s">
        <v>60</v>
      </c>
      <c r="O241" s="4">
        <v>17</v>
      </c>
      <c r="P241" s="4">
        <v>0.9</v>
      </c>
      <c r="Q241" s="4">
        <v>0.4</v>
      </c>
      <c r="R241" s="117" t="s">
        <v>43</v>
      </c>
      <c r="S241" s="91" t="s">
        <v>182</v>
      </c>
    </row>
    <row r="242" spans="1:19" x14ac:dyDescent="0.35">
      <c r="A242" s="4" t="s">
        <v>70</v>
      </c>
      <c r="B242" s="4">
        <v>25</v>
      </c>
      <c r="C242" s="4">
        <v>25</v>
      </c>
      <c r="D242" s="4" t="s">
        <v>42</v>
      </c>
      <c r="E242" s="4">
        <v>17</v>
      </c>
      <c r="F242" s="4">
        <v>0.9</v>
      </c>
      <c r="G242" s="4">
        <v>0.4</v>
      </c>
      <c r="H242" s="117" t="s">
        <v>43</v>
      </c>
      <c r="I242" s="91" t="s">
        <v>74</v>
      </c>
      <c r="K242" s="4" t="s">
        <v>67</v>
      </c>
      <c r="L242" s="65">
        <f t="shared" ref="L242:Q242" si="9">B9</f>
        <v>0.2544561408768215</v>
      </c>
      <c r="M242" s="65">
        <f t="shared" si="9"/>
        <v>0.10949010032952979</v>
      </c>
      <c r="N242" s="65" t="str">
        <f t="shared" si="9"/>
        <v>[€/kWh]</v>
      </c>
      <c r="O242" s="65">
        <f t="shared" si="9"/>
        <v>12</v>
      </c>
      <c r="P242" s="65">
        <f t="shared" si="9"/>
        <v>0.9</v>
      </c>
      <c r="Q242" s="65">
        <f t="shared" si="9"/>
        <v>0.4</v>
      </c>
      <c r="R242" s="117" t="s">
        <v>43</v>
      </c>
      <c r="S242" s="92" t="s">
        <v>286</v>
      </c>
    </row>
    <row r="243" spans="1:19" x14ac:dyDescent="0.35">
      <c r="A243" s="4" t="s">
        <v>260</v>
      </c>
      <c r="B243" s="4">
        <f>(100000*(1+(14780-15380)/15380)/118231)</f>
        <v>0.81280569096848254</v>
      </c>
      <c r="C243" s="4">
        <f>(100000*(1+(14780-15380)/15380)/118231)</f>
        <v>0.81280569096848254</v>
      </c>
      <c r="D243" s="4" t="s">
        <v>76</v>
      </c>
      <c r="E243" s="4">
        <v>17</v>
      </c>
      <c r="F243" s="4">
        <v>0.9</v>
      </c>
      <c r="G243" s="4">
        <v>0.4</v>
      </c>
      <c r="H243" s="117" t="s">
        <v>16</v>
      </c>
      <c r="I243" s="91" t="s">
        <v>304</v>
      </c>
      <c r="K243" s="4" t="s">
        <v>73</v>
      </c>
      <c r="L243" s="118">
        <v>0.1</v>
      </c>
      <c r="M243" s="118">
        <v>0.08</v>
      </c>
      <c r="N243" s="4" t="s">
        <v>57</v>
      </c>
      <c r="O243" s="4">
        <v>17</v>
      </c>
      <c r="P243" s="4">
        <v>0.9</v>
      </c>
      <c r="Q243" s="4">
        <v>0.4</v>
      </c>
      <c r="R243" s="117" t="s">
        <v>253</v>
      </c>
      <c r="S243" s="91" t="s">
        <v>183</v>
      </c>
    </row>
    <row r="244" spans="1:19" x14ac:dyDescent="0.35">
      <c r="I244" s="91"/>
      <c r="K244" s="4" t="s">
        <v>79</v>
      </c>
      <c r="L244" s="118">
        <v>0.06</v>
      </c>
      <c r="M244" s="118">
        <v>0.06</v>
      </c>
      <c r="N244" s="4" t="s">
        <v>57</v>
      </c>
      <c r="O244" s="4">
        <v>17</v>
      </c>
      <c r="P244" s="4">
        <v>0.9</v>
      </c>
      <c r="Q244" s="4">
        <v>0.4</v>
      </c>
      <c r="R244" s="117" t="s">
        <v>43</v>
      </c>
      <c r="S244" s="91" t="s">
        <v>74</v>
      </c>
    </row>
    <row r="245" spans="1:19" x14ac:dyDescent="0.35">
      <c r="I245" s="91"/>
      <c r="K245" s="4" t="s">
        <v>540</v>
      </c>
      <c r="L245" s="4">
        <f>AH216</f>
        <v>0</v>
      </c>
      <c r="M245" s="4">
        <f>AI216</f>
        <v>0</v>
      </c>
      <c r="N245" s="4" t="s">
        <v>76</v>
      </c>
      <c r="O245" s="4">
        <f>$E$4</f>
        <v>17</v>
      </c>
      <c r="P245" s="4">
        <f>$F$4</f>
        <v>0.9</v>
      </c>
      <c r="Q245" s="4">
        <f>$G$4</f>
        <v>0.4</v>
      </c>
      <c r="R245" s="117" t="s">
        <v>309</v>
      </c>
      <c r="S245" s="92" t="s">
        <v>285</v>
      </c>
    </row>
    <row r="246" spans="1:19" x14ac:dyDescent="0.35">
      <c r="I246" s="91"/>
      <c r="S246" s="91"/>
    </row>
    <row r="247" spans="1:19" x14ac:dyDescent="0.35">
      <c r="E247" s="4" t="s">
        <v>2</v>
      </c>
      <c r="H247" s="4" t="s">
        <v>3</v>
      </c>
      <c r="I247" s="91"/>
      <c r="O247" s="4" t="s">
        <v>2</v>
      </c>
      <c r="R247" s="4" t="s">
        <v>3</v>
      </c>
      <c r="S247" s="91"/>
    </row>
    <row r="248" spans="1:19" x14ac:dyDescent="0.35">
      <c r="A248" s="25" t="s">
        <v>543</v>
      </c>
      <c r="B248" s="4">
        <v>2023</v>
      </c>
      <c r="C248" s="4">
        <v>2050</v>
      </c>
      <c r="D248" s="4" t="s">
        <v>5</v>
      </c>
      <c r="E248" s="4" t="s">
        <v>8</v>
      </c>
      <c r="F248" s="4" t="s">
        <v>9</v>
      </c>
      <c r="G248" s="4" t="s">
        <v>10</v>
      </c>
      <c r="I248" s="91"/>
      <c r="K248" s="25" t="s">
        <v>185</v>
      </c>
      <c r="L248" s="4">
        <v>2023</v>
      </c>
      <c r="M248" s="4">
        <v>2050</v>
      </c>
      <c r="N248" s="4" t="s">
        <v>5</v>
      </c>
      <c r="O248" s="4" t="s">
        <v>8</v>
      </c>
      <c r="P248" s="4" t="s">
        <v>9</v>
      </c>
      <c r="Q248" s="4" t="s">
        <v>10</v>
      </c>
      <c r="S248" s="91"/>
    </row>
    <row r="249" spans="1:19" x14ac:dyDescent="0.35">
      <c r="A249" s="4" t="s">
        <v>14</v>
      </c>
      <c r="B249" s="89">
        <v>1000000</v>
      </c>
      <c r="C249" s="4">
        <v>1000000</v>
      </c>
      <c r="D249" s="4" t="s">
        <v>15</v>
      </c>
      <c r="E249" s="4">
        <v>17</v>
      </c>
      <c r="F249" s="4">
        <v>0.9</v>
      </c>
      <c r="G249" s="4">
        <v>0.4</v>
      </c>
      <c r="H249" s="117" t="s">
        <v>295</v>
      </c>
      <c r="I249" s="92" t="s">
        <v>173</v>
      </c>
      <c r="K249" s="4" t="s">
        <v>18</v>
      </c>
      <c r="L249" s="4">
        <f>L212*2</f>
        <v>30000000</v>
      </c>
      <c r="M249" s="4">
        <f>M212*1.2</f>
        <v>18000000</v>
      </c>
      <c r="N249" s="4" t="s">
        <v>15</v>
      </c>
      <c r="O249" s="4">
        <v>17</v>
      </c>
      <c r="P249" s="4">
        <v>0.9</v>
      </c>
      <c r="Q249" s="4">
        <v>0.4</v>
      </c>
      <c r="R249" s="117" t="s">
        <v>316</v>
      </c>
      <c r="S249" s="91" t="s">
        <v>281</v>
      </c>
    </row>
    <row r="250" spans="1:19" x14ac:dyDescent="0.35">
      <c r="A250" s="4" t="s">
        <v>25</v>
      </c>
      <c r="B250" s="4">
        <f>-B249*0.1</f>
        <v>-100000</v>
      </c>
      <c r="C250" s="4">
        <f>-C249*0.1</f>
        <v>-100000</v>
      </c>
      <c r="D250" s="4" t="s">
        <v>15</v>
      </c>
      <c r="E250" s="4">
        <v>17</v>
      </c>
      <c r="F250" s="4">
        <v>0.9</v>
      </c>
      <c r="G250" s="4">
        <v>0.4</v>
      </c>
      <c r="H250" s="117" t="s">
        <v>295</v>
      </c>
      <c r="I250" s="91" t="s">
        <v>174</v>
      </c>
      <c r="K250" s="4" t="s">
        <v>28</v>
      </c>
      <c r="L250" s="4">
        <f>-L249*0.05</f>
        <v>-1500000</v>
      </c>
      <c r="M250" s="4">
        <f>-M249*0.1</f>
        <v>-1800000</v>
      </c>
      <c r="N250" s="4" t="s">
        <v>15</v>
      </c>
      <c r="O250" s="4">
        <v>17</v>
      </c>
      <c r="P250" s="4">
        <v>0.9</v>
      </c>
      <c r="Q250" s="4">
        <v>0.4</v>
      </c>
      <c r="R250" s="117" t="s">
        <v>26</v>
      </c>
      <c r="S250" s="91" t="s">
        <v>181</v>
      </c>
    </row>
    <row r="251" spans="1:19" x14ac:dyDescent="0.35">
      <c r="A251" s="4" t="s">
        <v>37</v>
      </c>
      <c r="B251" s="4">
        <f>(793000+106000+128000)/0.85</f>
        <v>1208235.294117647</v>
      </c>
      <c r="C251" s="4">
        <f>(793000+106000+128000)/0.85</f>
        <v>1208235.294117647</v>
      </c>
      <c r="D251" s="4" t="s">
        <v>38</v>
      </c>
      <c r="E251" s="4">
        <v>17</v>
      </c>
      <c r="F251" s="4">
        <v>0.9</v>
      </c>
      <c r="G251" s="4">
        <v>0.4</v>
      </c>
      <c r="H251" s="117" t="s">
        <v>320</v>
      </c>
      <c r="I251" s="91" t="s">
        <v>305</v>
      </c>
      <c r="K251" s="4" t="s">
        <v>41</v>
      </c>
      <c r="L251" s="4">
        <v>25</v>
      </c>
      <c r="M251" s="4">
        <v>25</v>
      </c>
      <c r="N251" s="4" t="s">
        <v>42</v>
      </c>
      <c r="O251" s="4">
        <v>17</v>
      </c>
      <c r="P251" s="4">
        <v>0.9</v>
      </c>
      <c r="Q251" s="4">
        <v>0.4</v>
      </c>
      <c r="R251" s="117" t="s">
        <v>43</v>
      </c>
      <c r="S251" s="91" t="s">
        <v>74</v>
      </c>
    </row>
    <row r="252" spans="1:19" x14ac:dyDescent="0.35">
      <c r="A252" s="4" t="s">
        <v>48</v>
      </c>
      <c r="B252" s="4">
        <v>9450</v>
      </c>
      <c r="C252" s="4">
        <v>9450</v>
      </c>
      <c r="D252" s="4" t="s">
        <v>49</v>
      </c>
      <c r="E252" s="4">
        <v>17</v>
      </c>
      <c r="F252" s="4">
        <v>0.9</v>
      </c>
      <c r="G252" s="4">
        <v>0.4</v>
      </c>
      <c r="H252" s="117" t="s">
        <v>319</v>
      </c>
      <c r="I252" s="91" t="s">
        <v>296</v>
      </c>
      <c r="K252" s="4" t="s">
        <v>52</v>
      </c>
      <c r="L252" s="4">
        <f>(84000+122000+82000)/0.85</f>
        <v>338823.5294117647</v>
      </c>
      <c r="M252" s="4">
        <f>(84000+122000+82000)/0.85</f>
        <v>338823.5294117647</v>
      </c>
      <c r="N252" s="4" t="s">
        <v>38</v>
      </c>
      <c r="O252" s="4">
        <v>17</v>
      </c>
      <c r="P252" s="4">
        <v>0.9</v>
      </c>
      <c r="Q252" s="4">
        <v>0.4</v>
      </c>
      <c r="R252" s="117" t="s">
        <v>9</v>
      </c>
      <c r="S252" s="91" t="s">
        <v>307</v>
      </c>
    </row>
    <row r="253" spans="1:19" x14ac:dyDescent="0.35">
      <c r="A253" s="4" t="s">
        <v>56</v>
      </c>
      <c r="B253" s="118">
        <f>51%/C206</f>
        <v>0.68</v>
      </c>
      <c r="C253" s="118">
        <f>51%/C206</f>
        <v>0.68</v>
      </c>
      <c r="D253" s="4" t="s">
        <v>57</v>
      </c>
      <c r="E253" s="4">
        <v>17</v>
      </c>
      <c r="F253" s="4">
        <v>0.9</v>
      </c>
      <c r="G253" s="4">
        <v>0.4</v>
      </c>
      <c r="H253" s="117" t="s">
        <v>16</v>
      </c>
      <c r="I253" s="91" t="s">
        <v>300</v>
      </c>
      <c r="K253" s="4" t="s">
        <v>59</v>
      </c>
      <c r="L253" s="4">
        <v>589</v>
      </c>
      <c r="M253" s="4">
        <v>519</v>
      </c>
      <c r="N253" s="4" t="s">
        <v>60</v>
      </c>
      <c r="O253" s="4">
        <v>17</v>
      </c>
      <c r="P253" s="4">
        <v>0.9</v>
      </c>
      <c r="Q253" s="4">
        <v>0.4</v>
      </c>
      <c r="R253" s="117" t="s">
        <v>43</v>
      </c>
      <c r="S253" s="91" t="s">
        <v>182</v>
      </c>
    </row>
    <row r="254" spans="1:19" x14ac:dyDescent="0.35">
      <c r="A254" s="4" t="s">
        <v>64</v>
      </c>
      <c r="B254" s="4">
        <v>120000</v>
      </c>
      <c r="C254" s="4">
        <v>120000</v>
      </c>
      <c r="D254" s="4" t="s">
        <v>65</v>
      </c>
      <c r="E254" s="4">
        <v>17</v>
      </c>
      <c r="F254" s="4">
        <v>0.9</v>
      </c>
      <c r="G254" s="4">
        <v>0.4</v>
      </c>
      <c r="H254" s="117" t="s">
        <v>301</v>
      </c>
      <c r="I254" s="91" t="s">
        <v>302</v>
      </c>
      <c r="K254" s="4" t="s">
        <v>67</v>
      </c>
      <c r="L254" s="4">
        <f t="shared" ref="L254:Q254" si="10">B10</f>
        <v>0.23976160758395154</v>
      </c>
      <c r="M254" s="4">
        <f t="shared" si="10"/>
        <v>0.11428118371505049</v>
      </c>
      <c r="N254" s="4" t="str">
        <f t="shared" si="10"/>
        <v>[€/kWh]</v>
      </c>
      <c r="O254" s="4">
        <f t="shared" si="10"/>
        <v>14</v>
      </c>
      <c r="P254" s="4">
        <f t="shared" si="10"/>
        <v>0.9</v>
      </c>
      <c r="Q254" s="4">
        <f t="shared" si="10"/>
        <v>0.4</v>
      </c>
      <c r="R254" s="117" t="s">
        <v>43</v>
      </c>
      <c r="S254" s="91" t="s">
        <v>286</v>
      </c>
    </row>
    <row r="255" spans="1:19" x14ac:dyDescent="0.35">
      <c r="A255" s="4" t="s">
        <v>70</v>
      </c>
      <c r="B255" s="4">
        <v>25</v>
      </c>
      <c r="C255" s="4">
        <v>25</v>
      </c>
      <c r="D255" s="4" t="s">
        <v>42</v>
      </c>
      <c r="E255" s="4">
        <v>17</v>
      </c>
      <c r="F255" s="4">
        <v>0.9</v>
      </c>
      <c r="G255" s="4">
        <v>0.4</v>
      </c>
      <c r="H255" s="117" t="s">
        <v>43</v>
      </c>
      <c r="I255" s="91" t="s">
        <v>74</v>
      </c>
      <c r="K255" s="4" t="s">
        <v>73</v>
      </c>
      <c r="L255" s="118">
        <v>0.08</v>
      </c>
      <c r="M255" s="118">
        <v>7.0000000000000007E-2</v>
      </c>
      <c r="N255" s="4" t="s">
        <v>57</v>
      </c>
      <c r="O255" s="4">
        <v>17</v>
      </c>
      <c r="P255" s="4">
        <v>0.9</v>
      </c>
      <c r="Q255" s="4">
        <v>0.4</v>
      </c>
      <c r="R255" s="117" t="s">
        <v>43</v>
      </c>
      <c r="S255" s="91" t="s">
        <v>183</v>
      </c>
    </row>
    <row r="256" spans="1:19" x14ac:dyDescent="0.35">
      <c r="A256" s="4" t="s">
        <v>260</v>
      </c>
      <c r="B256" s="4">
        <f>(100000*(1+(14780-15380)/15380)/118231)</f>
        <v>0.81280569096848254</v>
      </c>
      <c r="C256" s="4">
        <f>(100000*(1+(14780-15380)/15380)/118231)</f>
        <v>0.81280569096848254</v>
      </c>
      <c r="D256" s="4" t="s">
        <v>76</v>
      </c>
      <c r="E256" s="4">
        <v>17</v>
      </c>
      <c r="F256" s="4">
        <v>0.9</v>
      </c>
      <c r="G256" s="4">
        <v>0.4</v>
      </c>
      <c r="H256" s="117" t="s">
        <v>16</v>
      </c>
      <c r="I256" s="91" t="s">
        <v>304</v>
      </c>
      <c r="K256" s="4" t="s">
        <v>79</v>
      </c>
      <c r="L256" s="118">
        <v>0.06</v>
      </c>
      <c r="M256" s="118">
        <v>0.06</v>
      </c>
      <c r="N256" s="4" t="s">
        <v>57</v>
      </c>
      <c r="O256" s="4">
        <v>17</v>
      </c>
      <c r="P256" s="4">
        <v>0.9</v>
      </c>
      <c r="Q256" s="4">
        <v>0.4</v>
      </c>
      <c r="R256" s="117" t="s">
        <v>43</v>
      </c>
      <c r="S256" s="91" t="s">
        <v>74</v>
      </c>
    </row>
    <row r="257" spans="2:19" x14ac:dyDescent="0.35">
      <c r="I257" s="91"/>
      <c r="K257" s="4" t="s">
        <v>540</v>
      </c>
      <c r="L257" s="4">
        <f>AM216</f>
        <v>0</v>
      </c>
      <c r="M257" s="4">
        <f>AN216</f>
        <v>0</v>
      </c>
      <c r="N257" s="4" t="s">
        <v>76</v>
      </c>
      <c r="O257" s="4">
        <f>$E$4</f>
        <v>17</v>
      </c>
      <c r="P257" s="4">
        <f>$F$4</f>
        <v>0.9</v>
      </c>
      <c r="Q257" s="4">
        <f>$G$4</f>
        <v>0.4</v>
      </c>
      <c r="R257" s="117" t="s">
        <v>309</v>
      </c>
      <c r="S257" s="92" t="s">
        <v>293</v>
      </c>
    </row>
    <row r="258" spans="2:19" x14ac:dyDescent="0.35">
      <c r="S258" s="91"/>
    </row>
    <row r="259" spans="2:19" x14ac:dyDescent="0.35">
      <c r="O259" s="4" t="s">
        <v>2</v>
      </c>
      <c r="R259" s="4" t="s">
        <v>3</v>
      </c>
      <c r="S259" s="91"/>
    </row>
    <row r="260" spans="2:19" x14ac:dyDescent="0.35">
      <c r="K260" s="25" t="s">
        <v>186</v>
      </c>
      <c r="L260" s="4">
        <v>2023</v>
      </c>
      <c r="M260" s="4">
        <v>2050</v>
      </c>
      <c r="N260" s="4" t="s">
        <v>5</v>
      </c>
      <c r="O260" s="4" t="s">
        <v>8</v>
      </c>
      <c r="P260" s="4" t="s">
        <v>9</v>
      </c>
      <c r="Q260" s="4" t="s">
        <v>10</v>
      </c>
      <c r="S260" s="91"/>
    </row>
    <row r="261" spans="2:19" x14ac:dyDescent="0.35">
      <c r="K261" s="4" t="s">
        <v>18</v>
      </c>
      <c r="L261" s="4">
        <f>L212*1.3</f>
        <v>19500000</v>
      </c>
      <c r="M261" s="4">
        <f>M212</f>
        <v>15000000</v>
      </c>
      <c r="N261" s="4" t="s">
        <v>15</v>
      </c>
      <c r="O261" s="4">
        <v>17</v>
      </c>
      <c r="P261" s="4">
        <v>0.9</v>
      </c>
      <c r="Q261" s="4">
        <v>0.4</v>
      </c>
      <c r="R261" s="117" t="s">
        <v>318</v>
      </c>
      <c r="S261" s="91" t="s">
        <v>187</v>
      </c>
    </row>
    <row r="262" spans="2:19" x14ac:dyDescent="0.35">
      <c r="K262" s="4" t="s">
        <v>28</v>
      </c>
      <c r="L262" s="4">
        <f>-L261*0.05</f>
        <v>-975000</v>
      </c>
      <c r="M262" s="4">
        <f>-M261*0.1</f>
        <v>-1500000</v>
      </c>
      <c r="N262" s="4" t="s">
        <v>15</v>
      </c>
      <c r="O262" s="4">
        <v>17</v>
      </c>
      <c r="P262" s="4">
        <v>0.9</v>
      </c>
      <c r="Q262" s="4">
        <v>0.4</v>
      </c>
      <c r="R262" s="117" t="s">
        <v>26</v>
      </c>
      <c r="S262" s="91" t="s">
        <v>181</v>
      </c>
    </row>
    <row r="263" spans="2:19" x14ac:dyDescent="0.35">
      <c r="B263" s="118"/>
      <c r="K263" s="4" t="s">
        <v>41</v>
      </c>
      <c r="L263" s="4">
        <v>25</v>
      </c>
      <c r="M263" s="4">
        <v>25</v>
      </c>
      <c r="N263" s="4" t="s">
        <v>42</v>
      </c>
      <c r="O263" s="4">
        <v>17</v>
      </c>
      <c r="P263" s="4">
        <v>0.9</v>
      </c>
      <c r="Q263" s="4">
        <v>0.4</v>
      </c>
      <c r="R263" s="117" t="s">
        <v>43</v>
      </c>
      <c r="S263" s="91" t="s">
        <v>74</v>
      </c>
    </row>
    <row r="264" spans="2:19" x14ac:dyDescent="0.35">
      <c r="K264" s="4" t="s">
        <v>52</v>
      </c>
      <c r="L264" s="4">
        <f>(84000+127000+122000+82000)/0.85</f>
        <v>488235.29411764705</v>
      </c>
      <c r="M264" s="4">
        <f>(84000+127000+122000+82000)/0.85</f>
        <v>488235.29411764705</v>
      </c>
      <c r="N264" s="4" t="s">
        <v>38</v>
      </c>
      <c r="O264" s="4">
        <v>17</v>
      </c>
      <c r="P264" s="4">
        <v>0.9</v>
      </c>
      <c r="Q264" s="4">
        <v>0.4</v>
      </c>
      <c r="R264" s="117" t="s">
        <v>9</v>
      </c>
      <c r="S264" s="91" t="s">
        <v>306</v>
      </c>
    </row>
    <row r="265" spans="2:19" x14ac:dyDescent="0.35">
      <c r="K265" s="4" t="s">
        <v>59</v>
      </c>
      <c r="L265" s="4">
        <v>647</v>
      </c>
      <c r="M265" s="4">
        <v>600</v>
      </c>
      <c r="N265" s="4" t="s">
        <v>60</v>
      </c>
      <c r="O265" s="4">
        <v>17</v>
      </c>
      <c r="P265" s="4">
        <v>0.9</v>
      </c>
      <c r="Q265" s="4">
        <v>0.4</v>
      </c>
      <c r="R265" s="117" t="s">
        <v>43</v>
      </c>
      <c r="S265" s="91" t="s">
        <v>188</v>
      </c>
    </row>
    <row r="266" spans="2:19" x14ac:dyDescent="0.35">
      <c r="K266" s="4" t="s">
        <v>67</v>
      </c>
      <c r="L266" s="4">
        <f t="shared" ref="L266:Q266" si="11">B11</f>
        <v>0.46076973995226939</v>
      </c>
      <c r="M266" s="4">
        <f t="shared" si="11"/>
        <v>0.14224714585492179</v>
      </c>
      <c r="N266" s="4" t="str">
        <f t="shared" si="11"/>
        <v>[€/kWh]</v>
      </c>
      <c r="O266" s="4">
        <f t="shared" si="11"/>
        <v>17</v>
      </c>
      <c r="P266" s="4">
        <f t="shared" si="11"/>
        <v>0.9</v>
      </c>
      <c r="Q266" s="4">
        <f t="shared" si="11"/>
        <v>0.4</v>
      </c>
      <c r="R266" s="117" t="s">
        <v>258</v>
      </c>
      <c r="S266" s="91" t="s">
        <v>303</v>
      </c>
    </row>
    <row r="267" spans="2:19" x14ac:dyDescent="0.35">
      <c r="K267" s="4" t="s">
        <v>73</v>
      </c>
      <c r="L267" s="118">
        <v>0.04</v>
      </c>
      <c r="M267" s="118">
        <v>0.04</v>
      </c>
      <c r="N267" s="4" t="s">
        <v>57</v>
      </c>
      <c r="O267" s="4">
        <v>17</v>
      </c>
      <c r="P267" s="4">
        <v>0.9</v>
      </c>
      <c r="Q267" s="4">
        <v>0.4</v>
      </c>
      <c r="R267" s="117" t="s">
        <v>77</v>
      </c>
      <c r="S267" s="91" t="s">
        <v>189</v>
      </c>
    </row>
    <row r="268" spans="2:19" x14ac:dyDescent="0.35">
      <c r="K268" s="4" t="s">
        <v>79</v>
      </c>
      <c r="L268" s="118">
        <v>0.06</v>
      </c>
      <c r="M268" s="118">
        <v>0.06</v>
      </c>
      <c r="N268" s="4" t="s">
        <v>57</v>
      </c>
      <c r="O268" s="4">
        <v>17</v>
      </c>
      <c r="P268" s="4">
        <v>0.9</v>
      </c>
      <c r="Q268" s="4">
        <v>0.4</v>
      </c>
      <c r="R268" s="117" t="s">
        <v>43</v>
      </c>
      <c r="S268" s="91" t="s">
        <v>74</v>
      </c>
    </row>
    <row r="269" spans="2:19" x14ac:dyDescent="0.35">
      <c r="K269" s="4" t="s">
        <v>540</v>
      </c>
      <c r="L269" s="4">
        <f>AR216</f>
        <v>0</v>
      </c>
      <c r="M269" s="4">
        <f>AS216</f>
        <v>0</v>
      </c>
      <c r="N269" s="4" t="s">
        <v>76</v>
      </c>
      <c r="O269" s="4">
        <f>$E$4</f>
        <v>17</v>
      </c>
      <c r="P269" s="4">
        <f>$F$4</f>
        <v>0.9</v>
      </c>
      <c r="Q269" s="4">
        <f>$G$4</f>
        <v>0.4</v>
      </c>
      <c r="R269" s="117" t="s">
        <v>309</v>
      </c>
      <c r="S269" s="92" t="s">
        <v>292</v>
      </c>
    </row>
    <row r="272" spans="2:19" x14ac:dyDescent="0.35">
      <c r="S272" s="91"/>
    </row>
    <row r="273" spans="11:13" x14ac:dyDescent="0.35">
      <c r="K273" s="120" t="s">
        <v>294</v>
      </c>
      <c r="L273" s="120"/>
      <c r="M273" s="120"/>
    </row>
    <row r="274" spans="11:13" x14ac:dyDescent="0.35">
      <c r="K274" s="120" t="s">
        <v>190</v>
      </c>
      <c r="L274" s="120"/>
      <c r="M274" s="120"/>
    </row>
    <row r="275" spans="11:13" x14ac:dyDescent="0.35">
      <c r="K275" s="120" t="s">
        <v>191</v>
      </c>
      <c r="L275" s="120">
        <v>5.4722</v>
      </c>
      <c r="M275" s="120" t="s">
        <v>32</v>
      </c>
    </row>
    <row r="276" spans="11:13" x14ac:dyDescent="0.35">
      <c r="K276" s="120" t="s">
        <v>192</v>
      </c>
      <c r="L276" s="120">
        <v>4.3333000000000004</v>
      </c>
      <c r="M276" s="120" t="s">
        <v>144</v>
      </c>
    </row>
    <row r="296" spans="1:19" x14ac:dyDescent="0.35">
      <c r="A296" s="84"/>
      <c r="B296" s="84"/>
      <c r="C296" s="84"/>
      <c r="D296" s="84"/>
      <c r="E296" s="84"/>
      <c r="F296" s="84"/>
      <c r="G296" s="84"/>
      <c r="H296" s="84"/>
      <c r="I296" s="84"/>
      <c r="J296" s="84"/>
      <c r="K296" s="84"/>
      <c r="L296" s="84"/>
      <c r="M296" s="84"/>
      <c r="N296" s="84"/>
      <c r="O296" s="84"/>
      <c r="P296" s="84"/>
      <c r="Q296" s="84"/>
      <c r="R296" s="84"/>
      <c r="S296" s="84"/>
    </row>
  </sheetData>
  <hyperlinks>
    <hyperlink ref="X92" r:id="rId1" xr:uid="{1BD051C7-0885-4D35-A225-8C711780BBD4}"/>
    <hyperlink ref="B208" r:id="rId2" xr:uid="{42079B35-1B4B-4E4D-887D-34B25C0E8A4C}"/>
    <hyperlink ref="F17" r:id="rId3" display="https://www.skatteetaten.no/en/business-and-organisation/vat-and-duties/excise-duties/about-the-excise-duties/mineral-product/" xr:uid="{E5779EDC-F628-4180-B58E-EF1BA1B15CC1}"/>
    <hyperlink ref="F16" r:id="rId4" display="https://www.skatteetaten.no/en/business-and-organisation/vat-and-duties/excise-duties/about-the-excise-duties/road-tax-on-fuel/" xr:uid="{2A2AF310-103E-4FA6-B766-665E9405CC30}"/>
  </hyperlinks>
  <pageMargins left="0.7" right="0.7" top="0.75" bottom="0.75" header="0.3" footer="0.3"/>
  <pageSetup paperSize="9"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BC15-4EA9-4CE0-8790-9314B23FDF92}">
  <dimension ref="A1:M61"/>
  <sheetViews>
    <sheetView zoomScale="70" zoomScaleNormal="70" workbookViewId="0">
      <selection activeCell="F52" sqref="F52"/>
    </sheetView>
  </sheetViews>
  <sheetFormatPr defaultRowHeight="14.5" x14ac:dyDescent="0.35"/>
  <cols>
    <col min="1" max="1" width="8.453125" bestFit="1" customWidth="1"/>
    <col min="4" max="4" width="13.54296875" bestFit="1" customWidth="1"/>
    <col min="5" max="6" width="23.453125" bestFit="1" customWidth="1"/>
    <col min="7" max="8" width="23.6328125" bestFit="1" customWidth="1"/>
    <col min="9" max="10" width="24.36328125" bestFit="1" customWidth="1"/>
    <col min="11" max="11" width="8" bestFit="1" customWidth="1"/>
    <col min="12" max="13" width="4" bestFit="1" customWidth="1"/>
  </cols>
  <sheetData>
    <row r="1" spans="1:13" x14ac:dyDescent="0.35">
      <c r="A1" s="99" t="s">
        <v>230</v>
      </c>
      <c r="B1" s="99" t="s">
        <v>217</v>
      </c>
      <c r="C1" s="99" t="s">
        <v>218</v>
      </c>
      <c r="D1" s="99" t="s">
        <v>234</v>
      </c>
      <c r="E1" s="99" t="s">
        <v>247</v>
      </c>
      <c r="F1" s="99" t="s">
        <v>248</v>
      </c>
      <c r="G1" s="99" t="s">
        <v>228</v>
      </c>
      <c r="H1" s="99" t="s">
        <v>229</v>
      </c>
      <c r="I1" s="104" t="s">
        <v>231</v>
      </c>
      <c r="J1" s="104" t="s">
        <v>232</v>
      </c>
      <c r="K1" s="99" t="s">
        <v>8</v>
      </c>
      <c r="L1" s="99" t="s">
        <v>9</v>
      </c>
      <c r="M1" s="99" t="s">
        <v>10</v>
      </c>
    </row>
    <row r="2" spans="1:13" x14ac:dyDescent="0.35">
      <c r="A2">
        <v>1</v>
      </c>
      <c r="B2" t="s">
        <v>219</v>
      </c>
      <c r="C2" t="s">
        <v>11</v>
      </c>
      <c r="D2" t="s">
        <v>220</v>
      </c>
      <c r="E2" s="100">
        <f>'Parameter Input'!X$80</f>
        <v>0.77317073170731698</v>
      </c>
      <c r="F2" s="100">
        <f>'Parameter Input'!Y$80</f>
        <v>0.63986543313708999</v>
      </c>
      <c r="G2">
        <f>'Parameter Input'!B$80*'Parameter Input'!B$81</f>
        <v>13.999999999999998</v>
      </c>
      <c r="H2">
        <f>'Parameter Input'!C$80*'Parameter Input'!C$81</f>
        <v>13.999999999999998</v>
      </c>
      <c r="I2" s="105">
        <f>E2/(G2)*1000</f>
        <v>55.226480836236938</v>
      </c>
      <c r="J2" s="105">
        <f>F2/H2*1000</f>
        <v>45.70467379550643</v>
      </c>
      <c r="K2">
        <v>12</v>
      </c>
      <c r="L2">
        <v>0.9</v>
      </c>
      <c r="M2">
        <v>0.4</v>
      </c>
    </row>
    <row r="3" spans="1:13" x14ac:dyDescent="0.35">
      <c r="A3">
        <v>2</v>
      </c>
      <c r="B3" t="s">
        <v>219</v>
      </c>
      <c r="C3" t="s">
        <v>11</v>
      </c>
      <c r="D3" t="s">
        <v>221</v>
      </c>
      <c r="E3" s="100">
        <f>'Parameter Input'!X$80</f>
        <v>0.77317073170731698</v>
      </c>
      <c r="F3" s="100">
        <f>'Parameter Input'!Y$80</f>
        <v>0.63986543313708999</v>
      </c>
      <c r="G3">
        <f>'Parameter Input'!B$92*'Parameter Input'!B$93</f>
        <v>16</v>
      </c>
      <c r="H3">
        <f>'Parameter Input'!C$92*'Parameter Input'!C$93</f>
        <v>16</v>
      </c>
      <c r="I3" s="105">
        <f t="shared" ref="I3:I61" si="0">E3/(G3)*1000</f>
        <v>48.323170731707314</v>
      </c>
      <c r="J3" s="105">
        <f t="shared" ref="J3:J61" si="1">F3/H3*1000</f>
        <v>39.991589571068126</v>
      </c>
      <c r="K3">
        <v>12</v>
      </c>
      <c r="L3">
        <v>0.9</v>
      </c>
      <c r="M3">
        <v>0.4</v>
      </c>
    </row>
    <row r="4" spans="1:13" x14ac:dyDescent="0.35">
      <c r="A4">
        <v>3</v>
      </c>
      <c r="B4" t="s">
        <v>219</v>
      </c>
      <c r="C4" t="s">
        <v>11</v>
      </c>
      <c r="D4" t="s">
        <v>222</v>
      </c>
      <c r="E4" s="100">
        <f>'Parameter Input'!X$80</f>
        <v>0.77317073170731698</v>
      </c>
      <c r="F4" s="100">
        <f>'Parameter Input'!Y$80</f>
        <v>0.63986543313708999</v>
      </c>
      <c r="G4">
        <f>'Parameter Input'!B$105*'Parameter Input'!B$106</f>
        <v>15.333333333333336</v>
      </c>
      <c r="H4">
        <f>'Parameter Input'!C$105*'Parameter Input'!C$106</f>
        <v>15.333333333333336</v>
      </c>
      <c r="I4" s="105">
        <f t="shared" si="0"/>
        <v>50.424178154825015</v>
      </c>
      <c r="J4" s="105">
        <f t="shared" si="1"/>
        <v>41.730354335027599</v>
      </c>
      <c r="K4">
        <v>12</v>
      </c>
      <c r="L4">
        <v>0.9</v>
      </c>
      <c r="M4">
        <v>0.4</v>
      </c>
    </row>
    <row r="5" spans="1:13" x14ac:dyDescent="0.35">
      <c r="A5">
        <v>4</v>
      </c>
      <c r="B5" t="s">
        <v>219</v>
      </c>
      <c r="C5" t="s">
        <v>11</v>
      </c>
      <c r="D5" t="s">
        <v>223</v>
      </c>
      <c r="E5" s="100">
        <f>'Parameter Input'!X$80</f>
        <v>0.77317073170731698</v>
      </c>
      <c r="F5" s="100">
        <f>'Parameter Input'!Y$80</f>
        <v>0.63986543313708999</v>
      </c>
      <c r="G5">
        <f>'Parameter Input'!B$118*'Parameter Input'!B$119</f>
        <v>15.333333333333336</v>
      </c>
      <c r="H5">
        <f>'Parameter Input'!C$118*'Parameter Input'!C$119</f>
        <v>15.333333333333336</v>
      </c>
      <c r="I5" s="105">
        <f t="shared" si="0"/>
        <v>50.424178154825015</v>
      </c>
      <c r="J5" s="105">
        <f t="shared" si="1"/>
        <v>41.730354335027599</v>
      </c>
      <c r="K5">
        <v>12</v>
      </c>
      <c r="L5">
        <v>0.9</v>
      </c>
      <c r="M5">
        <v>0.4</v>
      </c>
    </row>
    <row r="6" spans="1:13" x14ac:dyDescent="0.35">
      <c r="A6">
        <v>5</v>
      </c>
      <c r="B6" t="s">
        <v>219</v>
      </c>
      <c r="C6" t="s">
        <v>11</v>
      </c>
      <c r="D6" t="s">
        <v>224</v>
      </c>
      <c r="E6" s="100">
        <f>'Parameter Input'!X$80</f>
        <v>0.77317073170731698</v>
      </c>
      <c r="F6" s="100">
        <f>'Parameter Input'!Y$80</f>
        <v>0.63986543313708999</v>
      </c>
      <c r="G6">
        <f>'Parameter Input'!B$132*'Parameter Input'!B$133</f>
        <v>16</v>
      </c>
      <c r="H6">
        <f>'Parameter Input'!C$132*'Parameter Input'!C$133</f>
        <v>16</v>
      </c>
      <c r="I6" s="105">
        <f t="shared" si="0"/>
        <v>48.323170731707314</v>
      </c>
      <c r="J6" s="105">
        <f t="shared" si="1"/>
        <v>39.991589571068126</v>
      </c>
      <c r="K6">
        <v>12</v>
      </c>
      <c r="L6">
        <v>0.9</v>
      </c>
      <c r="M6">
        <v>0.4</v>
      </c>
    </row>
    <row r="7" spans="1:13" x14ac:dyDescent="0.35">
      <c r="A7">
        <v>6</v>
      </c>
      <c r="B7" t="s">
        <v>219</v>
      </c>
      <c r="C7" s="101" t="s">
        <v>86</v>
      </c>
      <c r="D7" t="s">
        <v>220</v>
      </c>
      <c r="E7" s="100">
        <f>'Parameter Input'!AH$80</f>
        <v>3.5200000000000002E-2</v>
      </c>
      <c r="F7" s="100">
        <f>'Parameter Input'!AI$80</f>
        <v>0</v>
      </c>
      <c r="G7">
        <f>'Parameter Input'!B$80*'Parameter Input'!B$81</f>
        <v>13.999999999999998</v>
      </c>
      <c r="H7">
        <f>'Parameter Input'!C$80*'Parameter Input'!C$81</f>
        <v>13.999999999999998</v>
      </c>
      <c r="I7" s="105">
        <f t="shared" si="0"/>
        <v>2.5142857142857147</v>
      </c>
      <c r="J7" s="105">
        <f t="shared" si="1"/>
        <v>0</v>
      </c>
      <c r="K7">
        <v>12</v>
      </c>
      <c r="L7">
        <v>0.9</v>
      </c>
      <c r="M7">
        <v>0.4</v>
      </c>
    </row>
    <row r="8" spans="1:13" x14ac:dyDescent="0.35">
      <c r="A8">
        <v>7</v>
      </c>
      <c r="B8" t="s">
        <v>219</v>
      </c>
      <c r="C8" s="101" t="s">
        <v>86</v>
      </c>
      <c r="D8" t="s">
        <v>221</v>
      </c>
      <c r="E8" s="100">
        <f>'Parameter Input'!AH$80</f>
        <v>3.5200000000000002E-2</v>
      </c>
      <c r="F8" s="100">
        <f>'Parameter Input'!AI$80</f>
        <v>0</v>
      </c>
      <c r="G8">
        <f>'Parameter Input'!B$92*'Parameter Input'!B$93</f>
        <v>16</v>
      </c>
      <c r="H8">
        <f>'Parameter Input'!C$92*'Parameter Input'!C$93</f>
        <v>16</v>
      </c>
      <c r="I8" s="105">
        <f t="shared" si="0"/>
        <v>2.2000000000000002</v>
      </c>
      <c r="J8" s="105">
        <f t="shared" si="1"/>
        <v>0</v>
      </c>
      <c r="K8">
        <v>12</v>
      </c>
      <c r="L8">
        <v>0.9</v>
      </c>
      <c r="M8">
        <v>0.4</v>
      </c>
    </row>
    <row r="9" spans="1:13" x14ac:dyDescent="0.35">
      <c r="A9">
        <v>8</v>
      </c>
      <c r="B9" t="s">
        <v>219</v>
      </c>
      <c r="C9" s="101" t="s">
        <v>86</v>
      </c>
      <c r="D9" t="s">
        <v>222</v>
      </c>
      <c r="E9" s="100">
        <f>'Parameter Input'!AH$80</f>
        <v>3.5200000000000002E-2</v>
      </c>
      <c r="F9" s="100">
        <f>'Parameter Input'!AI$80</f>
        <v>0</v>
      </c>
      <c r="G9">
        <f>'Parameter Input'!B$105*'Parameter Input'!B$106</f>
        <v>15.333333333333336</v>
      </c>
      <c r="H9">
        <f>'Parameter Input'!C$105*'Parameter Input'!C$106</f>
        <v>15.333333333333336</v>
      </c>
      <c r="I9" s="105">
        <f t="shared" si="0"/>
        <v>2.2956521739130431</v>
      </c>
      <c r="J9" s="105">
        <f t="shared" si="1"/>
        <v>0</v>
      </c>
      <c r="K9">
        <v>12</v>
      </c>
      <c r="L9">
        <v>0.9</v>
      </c>
      <c r="M9">
        <v>0.4</v>
      </c>
    </row>
    <row r="10" spans="1:13" x14ac:dyDescent="0.35">
      <c r="A10">
        <v>9</v>
      </c>
      <c r="B10" t="s">
        <v>219</v>
      </c>
      <c r="C10" s="101" t="s">
        <v>86</v>
      </c>
      <c r="D10" t="s">
        <v>223</v>
      </c>
      <c r="E10" s="100">
        <f>'Parameter Input'!AH$80</f>
        <v>3.5200000000000002E-2</v>
      </c>
      <c r="F10" s="100">
        <f>'Parameter Input'!AI$80</f>
        <v>0</v>
      </c>
      <c r="G10">
        <f>'Parameter Input'!B$118*'Parameter Input'!B$119</f>
        <v>15.333333333333336</v>
      </c>
      <c r="H10">
        <f>'Parameter Input'!C$118*'Parameter Input'!C$119</f>
        <v>15.333333333333336</v>
      </c>
      <c r="I10" s="105">
        <f t="shared" si="0"/>
        <v>2.2956521739130431</v>
      </c>
      <c r="J10" s="105">
        <f t="shared" si="1"/>
        <v>0</v>
      </c>
      <c r="K10">
        <v>12</v>
      </c>
      <c r="L10">
        <v>0.9</v>
      </c>
      <c r="M10">
        <v>0.4</v>
      </c>
    </row>
    <row r="11" spans="1:13" x14ac:dyDescent="0.35">
      <c r="A11">
        <v>10</v>
      </c>
      <c r="B11" t="s">
        <v>219</v>
      </c>
      <c r="C11" s="101" t="s">
        <v>86</v>
      </c>
      <c r="D11" t="s">
        <v>224</v>
      </c>
      <c r="E11" s="100">
        <f>'Parameter Input'!AH$80</f>
        <v>3.5200000000000002E-2</v>
      </c>
      <c r="F11" s="100">
        <f>'Parameter Input'!AI$80</f>
        <v>0</v>
      </c>
      <c r="G11">
        <f>'Parameter Input'!B$132*'Parameter Input'!B$133</f>
        <v>16</v>
      </c>
      <c r="H11">
        <f>'Parameter Input'!C$132*'Parameter Input'!C$133</f>
        <v>16</v>
      </c>
      <c r="I11" s="105">
        <f t="shared" si="0"/>
        <v>2.2000000000000002</v>
      </c>
      <c r="J11" s="105">
        <f t="shared" si="1"/>
        <v>0</v>
      </c>
      <c r="K11">
        <v>12</v>
      </c>
      <c r="L11">
        <v>0.9</v>
      </c>
      <c r="M11">
        <v>0.4</v>
      </c>
    </row>
    <row r="12" spans="1:13" x14ac:dyDescent="0.35">
      <c r="A12">
        <v>11</v>
      </c>
      <c r="B12" t="s">
        <v>219</v>
      </c>
      <c r="C12" t="s">
        <v>102</v>
      </c>
      <c r="D12" t="s">
        <v>220</v>
      </c>
      <c r="E12" s="100">
        <f>'Parameter Input'!AC$80</f>
        <v>9.1245901639344248E-2</v>
      </c>
      <c r="F12" s="100">
        <f>'Parameter Input'!AD$80</f>
        <v>0</v>
      </c>
      <c r="G12">
        <f>'Parameter Input'!B$80*'Parameter Input'!B$81</f>
        <v>13.999999999999998</v>
      </c>
      <c r="H12">
        <f>'Parameter Input'!C$80*'Parameter Input'!C$81</f>
        <v>13.999999999999998</v>
      </c>
      <c r="I12" s="105">
        <f t="shared" si="0"/>
        <v>6.5175644028103044</v>
      </c>
      <c r="J12" s="105">
        <f t="shared" si="1"/>
        <v>0</v>
      </c>
      <c r="K12">
        <v>12</v>
      </c>
      <c r="L12">
        <v>0.9</v>
      </c>
      <c r="M12">
        <v>0.4</v>
      </c>
    </row>
    <row r="13" spans="1:13" x14ac:dyDescent="0.35">
      <c r="A13">
        <v>12</v>
      </c>
      <c r="B13" t="s">
        <v>219</v>
      </c>
      <c r="C13" t="s">
        <v>102</v>
      </c>
      <c r="D13" t="s">
        <v>221</v>
      </c>
      <c r="E13" s="100">
        <f>'Parameter Input'!AC$80</f>
        <v>9.1245901639344248E-2</v>
      </c>
      <c r="F13" s="100">
        <f>'Parameter Input'!AD$80</f>
        <v>0</v>
      </c>
      <c r="G13">
        <f>'Parameter Input'!B$92*'Parameter Input'!B$93</f>
        <v>16</v>
      </c>
      <c r="H13">
        <f>'Parameter Input'!C$92*'Parameter Input'!C$93</f>
        <v>16</v>
      </c>
      <c r="I13" s="105">
        <f t="shared" si="0"/>
        <v>5.7028688524590159</v>
      </c>
      <c r="J13" s="105">
        <f t="shared" si="1"/>
        <v>0</v>
      </c>
      <c r="K13">
        <v>12</v>
      </c>
      <c r="L13">
        <v>0.9</v>
      </c>
      <c r="M13">
        <v>0.4</v>
      </c>
    </row>
    <row r="14" spans="1:13" x14ac:dyDescent="0.35">
      <c r="A14">
        <v>13</v>
      </c>
      <c r="B14" t="s">
        <v>219</v>
      </c>
      <c r="C14" t="s">
        <v>102</v>
      </c>
      <c r="D14" t="s">
        <v>222</v>
      </c>
      <c r="E14" s="100">
        <f>'Parameter Input'!AC$80</f>
        <v>9.1245901639344248E-2</v>
      </c>
      <c r="F14" s="100">
        <f>'Parameter Input'!AD$80</f>
        <v>0</v>
      </c>
      <c r="G14">
        <f>'Parameter Input'!B$105*'Parameter Input'!B$106</f>
        <v>15.333333333333336</v>
      </c>
      <c r="H14">
        <f>'Parameter Input'!C$105*'Parameter Input'!C$106</f>
        <v>15.333333333333336</v>
      </c>
      <c r="I14" s="105">
        <f t="shared" si="0"/>
        <v>5.9508196721311455</v>
      </c>
      <c r="J14" s="105">
        <f t="shared" si="1"/>
        <v>0</v>
      </c>
      <c r="K14">
        <v>12</v>
      </c>
      <c r="L14">
        <v>0.9</v>
      </c>
      <c r="M14">
        <v>0.4</v>
      </c>
    </row>
    <row r="15" spans="1:13" x14ac:dyDescent="0.35">
      <c r="A15">
        <v>14</v>
      </c>
      <c r="B15" t="s">
        <v>219</v>
      </c>
      <c r="C15" t="s">
        <v>102</v>
      </c>
      <c r="D15" t="s">
        <v>223</v>
      </c>
      <c r="E15" s="100">
        <f>'Parameter Input'!AC$80</f>
        <v>9.1245901639344248E-2</v>
      </c>
      <c r="F15" s="100">
        <f>'Parameter Input'!AD$80</f>
        <v>0</v>
      </c>
      <c r="G15">
        <f>'Parameter Input'!B$118*'Parameter Input'!B$119</f>
        <v>15.333333333333336</v>
      </c>
      <c r="H15">
        <f>'Parameter Input'!C$118*'Parameter Input'!C$119</f>
        <v>15.333333333333336</v>
      </c>
      <c r="I15" s="105">
        <f t="shared" si="0"/>
        <v>5.9508196721311455</v>
      </c>
      <c r="J15" s="105">
        <f t="shared" si="1"/>
        <v>0</v>
      </c>
      <c r="K15">
        <v>12</v>
      </c>
      <c r="L15">
        <v>0.9</v>
      </c>
      <c r="M15">
        <v>0.4</v>
      </c>
    </row>
    <row r="16" spans="1:13" x14ac:dyDescent="0.35">
      <c r="A16">
        <v>15</v>
      </c>
      <c r="B16" t="s">
        <v>219</v>
      </c>
      <c r="C16" t="s">
        <v>102</v>
      </c>
      <c r="D16" t="s">
        <v>224</v>
      </c>
      <c r="E16" s="100">
        <f>'Parameter Input'!AC$80</f>
        <v>9.1245901639344248E-2</v>
      </c>
      <c r="F16" s="100">
        <f>'Parameter Input'!AD$80</f>
        <v>0</v>
      </c>
      <c r="G16">
        <f>'Parameter Input'!B$132*'Parameter Input'!B$133</f>
        <v>16</v>
      </c>
      <c r="H16">
        <f>'Parameter Input'!C$132*'Parameter Input'!C$133</f>
        <v>16</v>
      </c>
      <c r="I16" s="105">
        <f t="shared" si="0"/>
        <v>5.7028688524590159</v>
      </c>
      <c r="J16" s="105">
        <f t="shared" si="1"/>
        <v>0</v>
      </c>
      <c r="K16">
        <v>12</v>
      </c>
      <c r="L16">
        <v>0.9</v>
      </c>
      <c r="M16">
        <v>0.4</v>
      </c>
    </row>
    <row r="17" spans="1:13" x14ac:dyDescent="0.35">
      <c r="A17">
        <v>16</v>
      </c>
      <c r="B17" t="s">
        <v>225</v>
      </c>
      <c r="C17" t="s">
        <v>11</v>
      </c>
      <c r="D17" t="s">
        <v>220</v>
      </c>
      <c r="E17" s="100">
        <f>'Parameter Input'!X$150</f>
        <v>20.469721783010932</v>
      </c>
      <c r="F17" s="100">
        <f>'Parameter Input'!Y$150</f>
        <v>20.469721783010932</v>
      </c>
      <c r="G17">
        <f>'Parameter Input'!B$150*'Parameter Input'!B$151</f>
        <v>1433.6000000000001</v>
      </c>
      <c r="H17">
        <f>'Parameter Input'!C$150*'Parameter Input'!C$151</f>
        <v>1433.6000000000001</v>
      </c>
      <c r="I17" s="105">
        <f t="shared" si="0"/>
        <v>14.278544770515436</v>
      </c>
      <c r="J17" s="105">
        <f t="shared" si="1"/>
        <v>14.278544770515436</v>
      </c>
      <c r="K17">
        <v>12</v>
      </c>
      <c r="L17">
        <v>0.9</v>
      </c>
      <c r="M17">
        <v>0.4</v>
      </c>
    </row>
    <row r="18" spans="1:13" x14ac:dyDescent="0.35">
      <c r="A18">
        <v>17</v>
      </c>
      <c r="B18" t="s">
        <v>225</v>
      </c>
      <c r="C18" t="s">
        <v>11</v>
      </c>
      <c r="D18" t="s">
        <v>221</v>
      </c>
      <c r="E18" s="100">
        <f>'Parameter Input'!X$150</f>
        <v>20.469721783010932</v>
      </c>
      <c r="F18" s="100">
        <f>'Parameter Input'!Y$150</f>
        <v>20.469721783010932</v>
      </c>
      <c r="G18">
        <f>'Parameter Input'!B$162*'Parameter Input'!B$163</f>
        <v>955.73333333333335</v>
      </c>
      <c r="H18">
        <f>'Parameter Input'!C$162*'Parameter Input'!C$163</f>
        <v>955.73333333333335</v>
      </c>
      <c r="I18" s="105">
        <f t="shared" si="0"/>
        <v>21.417817155773157</v>
      </c>
      <c r="J18" s="105">
        <f t="shared" si="1"/>
        <v>21.417817155773157</v>
      </c>
      <c r="K18">
        <v>12</v>
      </c>
      <c r="L18">
        <v>0.9</v>
      </c>
      <c r="M18">
        <v>0.4</v>
      </c>
    </row>
    <row r="19" spans="1:13" x14ac:dyDescent="0.35">
      <c r="A19">
        <v>18</v>
      </c>
      <c r="B19" t="s">
        <v>225</v>
      </c>
      <c r="C19" t="s">
        <v>11</v>
      </c>
      <c r="D19" t="s">
        <v>222</v>
      </c>
      <c r="E19" s="100">
        <f>'Parameter Input'!X$150</f>
        <v>20.469721783010932</v>
      </c>
      <c r="F19" s="100">
        <f>'Parameter Input'!Y$150</f>
        <v>20.469721783010932</v>
      </c>
      <c r="G19">
        <f>'Parameter Input'!B$174*'Parameter Input'!B$175</f>
        <v>955.73333333333335</v>
      </c>
      <c r="H19">
        <f>'Parameter Input'!C$174*'Parameter Input'!C$175</f>
        <v>955.73333333333335</v>
      </c>
      <c r="I19" s="105">
        <f t="shared" si="0"/>
        <v>21.417817155773157</v>
      </c>
      <c r="J19" s="105">
        <f t="shared" si="1"/>
        <v>21.417817155773157</v>
      </c>
      <c r="K19">
        <v>12</v>
      </c>
      <c r="L19">
        <v>0.9</v>
      </c>
      <c r="M19">
        <v>0.4</v>
      </c>
    </row>
    <row r="20" spans="1:13" x14ac:dyDescent="0.35">
      <c r="A20">
        <v>19</v>
      </c>
      <c r="B20" t="s">
        <v>225</v>
      </c>
      <c r="C20" t="s">
        <v>11</v>
      </c>
      <c r="D20" t="s">
        <v>223</v>
      </c>
      <c r="E20" s="100">
        <f>'Parameter Input'!X$150</f>
        <v>20.469721783010932</v>
      </c>
      <c r="F20" s="100">
        <f>'Parameter Input'!Y$150</f>
        <v>20.469721783010932</v>
      </c>
      <c r="G20">
        <f>'Parameter Input'!B$186*'Parameter Input'!B$187</f>
        <v>1612.8000000000002</v>
      </c>
      <c r="H20">
        <f>'Parameter Input'!C$186*'Parameter Input'!C$187</f>
        <v>1612.8000000000002</v>
      </c>
      <c r="I20" s="105">
        <f t="shared" si="0"/>
        <v>12.69203979601372</v>
      </c>
      <c r="J20" s="105">
        <f t="shared" si="1"/>
        <v>12.69203979601372</v>
      </c>
      <c r="K20">
        <v>12</v>
      </c>
      <c r="L20">
        <v>0.9</v>
      </c>
      <c r="M20">
        <v>0.4</v>
      </c>
    </row>
    <row r="21" spans="1:13" x14ac:dyDescent="0.35">
      <c r="A21">
        <v>20</v>
      </c>
      <c r="B21" t="s">
        <v>225</v>
      </c>
      <c r="C21" t="s">
        <v>11</v>
      </c>
      <c r="D21" t="s">
        <v>224</v>
      </c>
      <c r="E21" s="100">
        <f>'Parameter Input'!X$150</f>
        <v>20.469721783010932</v>
      </c>
      <c r="F21" s="100">
        <f>'Parameter Input'!Y$150</f>
        <v>20.469721783010932</v>
      </c>
      <c r="G21">
        <f>'Parameter Input'!B$197*'Parameter Input'!B$198</f>
        <v>1194.6666666666667</v>
      </c>
      <c r="H21">
        <f>'Parameter Input'!C$197*'Parameter Input'!C$198</f>
        <v>1194.6666666666667</v>
      </c>
      <c r="I21" s="105">
        <f t="shared" si="0"/>
        <v>17.134253724618524</v>
      </c>
      <c r="J21" s="105">
        <f t="shared" si="1"/>
        <v>17.134253724618524</v>
      </c>
      <c r="K21">
        <v>12</v>
      </c>
      <c r="L21">
        <v>0.9</v>
      </c>
      <c r="M21">
        <v>0.4</v>
      </c>
    </row>
    <row r="22" spans="1:13" x14ac:dyDescent="0.35">
      <c r="A22">
        <v>21</v>
      </c>
      <c r="B22" t="s">
        <v>225</v>
      </c>
      <c r="C22" t="s">
        <v>135</v>
      </c>
      <c r="D22" t="s">
        <v>220</v>
      </c>
      <c r="E22" s="100">
        <f>'Parameter Input'!AH$150</f>
        <v>0.73212076780185753</v>
      </c>
      <c r="F22" s="100">
        <f>'Parameter Input'!AI$150</f>
        <v>0</v>
      </c>
      <c r="G22">
        <f>'Parameter Input'!B$150*'Parameter Input'!B$151</f>
        <v>1433.6000000000001</v>
      </c>
      <c r="H22">
        <f>'Parameter Input'!C$150*'Parameter Input'!C$151</f>
        <v>1433.6000000000001</v>
      </c>
      <c r="I22" s="105">
        <f t="shared" si="0"/>
        <v>0.51068691950464384</v>
      </c>
      <c r="J22" s="105">
        <f t="shared" si="1"/>
        <v>0</v>
      </c>
      <c r="K22">
        <v>12</v>
      </c>
      <c r="L22">
        <v>0.9</v>
      </c>
      <c r="M22">
        <v>0.4</v>
      </c>
    </row>
    <row r="23" spans="1:13" x14ac:dyDescent="0.35">
      <c r="A23">
        <v>22</v>
      </c>
      <c r="B23" t="s">
        <v>225</v>
      </c>
      <c r="C23" t="s">
        <v>135</v>
      </c>
      <c r="D23" t="s">
        <v>221</v>
      </c>
      <c r="E23" s="100">
        <f>'Parameter Input'!AH$150</f>
        <v>0.73212076780185753</v>
      </c>
      <c r="F23" s="100">
        <f>'Parameter Input'!AI$150</f>
        <v>0</v>
      </c>
      <c r="G23">
        <f>'Parameter Input'!B$162*'Parameter Input'!B$163</f>
        <v>955.73333333333335</v>
      </c>
      <c r="H23">
        <f>'Parameter Input'!C$162*'Parameter Input'!C$163</f>
        <v>955.73333333333335</v>
      </c>
      <c r="I23" s="105">
        <f t="shared" si="0"/>
        <v>0.76603037925696593</v>
      </c>
      <c r="J23" s="105">
        <f t="shared" si="1"/>
        <v>0</v>
      </c>
      <c r="K23">
        <v>12</v>
      </c>
      <c r="L23">
        <v>0.9</v>
      </c>
      <c r="M23">
        <v>0.4</v>
      </c>
    </row>
    <row r="24" spans="1:13" x14ac:dyDescent="0.35">
      <c r="A24">
        <v>23</v>
      </c>
      <c r="B24" t="s">
        <v>225</v>
      </c>
      <c r="C24" t="s">
        <v>135</v>
      </c>
      <c r="D24" t="s">
        <v>222</v>
      </c>
      <c r="E24" s="100">
        <f>'Parameter Input'!AH$150</f>
        <v>0.73212076780185753</v>
      </c>
      <c r="F24" s="100">
        <f>'Parameter Input'!AI$150</f>
        <v>0</v>
      </c>
      <c r="G24">
        <f>'Parameter Input'!B$174*'Parameter Input'!B$175</f>
        <v>955.73333333333335</v>
      </c>
      <c r="H24">
        <f>'Parameter Input'!C$174*'Parameter Input'!C$175</f>
        <v>955.73333333333335</v>
      </c>
      <c r="I24" s="105">
        <f t="shared" si="0"/>
        <v>0.76603037925696593</v>
      </c>
      <c r="J24" s="105">
        <f t="shared" si="1"/>
        <v>0</v>
      </c>
      <c r="K24">
        <v>12</v>
      </c>
      <c r="L24">
        <v>0.9</v>
      </c>
      <c r="M24">
        <v>0.4</v>
      </c>
    </row>
    <row r="25" spans="1:13" x14ac:dyDescent="0.35">
      <c r="A25">
        <v>24</v>
      </c>
      <c r="B25" t="s">
        <v>225</v>
      </c>
      <c r="C25" t="s">
        <v>135</v>
      </c>
      <c r="D25" t="s">
        <v>223</v>
      </c>
      <c r="E25" s="100">
        <f>'Parameter Input'!AH$150</f>
        <v>0.73212076780185753</v>
      </c>
      <c r="F25" s="100">
        <f>'Parameter Input'!AI$150</f>
        <v>0</v>
      </c>
      <c r="G25">
        <f>'Parameter Input'!B$186*'Parameter Input'!B$187</f>
        <v>1612.8000000000002</v>
      </c>
      <c r="H25">
        <f>'Parameter Input'!C$186*'Parameter Input'!C$187</f>
        <v>1612.8000000000002</v>
      </c>
      <c r="I25" s="105">
        <f t="shared" si="0"/>
        <v>0.45394392844857229</v>
      </c>
      <c r="J25" s="105">
        <f t="shared" si="1"/>
        <v>0</v>
      </c>
      <c r="K25">
        <v>12</v>
      </c>
      <c r="L25">
        <v>0.9</v>
      </c>
      <c r="M25">
        <v>0.4</v>
      </c>
    </row>
    <row r="26" spans="1:13" x14ac:dyDescent="0.35">
      <c r="A26">
        <v>25</v>
      </c>
      <c r="B26" t="s">
        <v>225</v>
      </c>
      <c r="C26" t="s">
        <v>135</v>
      </c>
      <c r="D26" t="s">
        <v>224</v>
      </c>
      <c r="E26" s="100">
        <f>'Parameter Input'!AH$150</f>
        <v>0.73212076780185753</v>
      </c>
      <c r="F26" s="100">
        <f>'Parameter Input'!AI$150</f>
        <v>0</v>
      </c>
      <c r="G26">
        <f>'Parameter Input'!B$197*'Parameter Input'!B$198</f>
        <v>1194.6666666666667</v>
      </c>
      <c r="H26">
        <f>'Parameter Input'!C$197*'Parameter Input'!C$198</f>
        <v>1194.6666666666667</v>
      </c>
      <c r="I26" s="105">
        <f t="shared" si="0"/>
        <v>0.6128243034055727</v>
      </c>
      <c r="J26" s="105">
        <f t="shared" si="1"/>
        <v>0</v>
      </c>
      <c r="K26">
        <v>12</v>
      </c>
      <c r="L26">
        <v>0.9</v>
      </c>
      <c r="M26">
        <v>0.4</v>
      </c>
    </row>
    <row r="27" spans="1:13" x14ac:dyDescent="0.35">
      <c r="A27">
        <v>26</v>
      </c>
      <c r="B27" t="s">
        <v>225</v>
      </c>
      <c r="C27" t="s">
        <v>86</v>
      </c>
      <c r="D27" t="s">
        <v>220</v>
      </c>
      <c r="E27" s="100">
        <f>'Parameter Input'!AM$150</f>
        <v>0.77787831578947364</v>
      </c>
      <c r="F27" s="100">
        <f>'Parameter Input'!AN$150</f>
        <v>0</v>
      </c>
      <c r="G27">
        <f>'Parameter Input'!B$150*'Parameter Input'!B$151</f>
        <v>1433.6000000000001</v>
      </c>
      <c r="H27">
        <f>'Parameter Input'!C$150*'Parameter Input'!C$151</f>
        <v>1433.6000000000001</v>
      </c>
      <c r="I27" s="105">
        <f t="shared" si="0"/>
        <v>0.54260485197368413</v>
      </c>
      <c r="J27" s="105">
        <f t="shared" si="1"/>
        <v>0</v>
      </c>
      <c r="K27">
        <v>12</v>
      </c>
      <c r="L27">
        <v>0.9</v>
      </c>
      <c r="M27">
        <v>0.4</v>
      </c>
    </row>
    <row r="28" spans="1:13" x14ac:dyDescent="0.35">
      <c r="A28">
        <v>27</v>
      </c>
      <c r="B28" t="s">
        <v>225</v>
      </c>
      <c r="C28" t="s">
        <v>86</v>
      </c>
      <c r="D28" t="s">
        <v>221</v>
      </c>
      <c r="E28" s="100">
        <f>'Parameter Input'!AM$150</f>
        <v>0.77787831578947364</v>
      </c>
      <c r="F28" s="100">
        <f>'Parameter Input'!AN$150</f>
        <v>0</v>
      </c>
      <c r="G28">
        <f>'Parameter Input'!B$162*'Parameter Input'!B$163</f>
        <v>955.73333333333335</v>
      </c>
      <c r="H28">
        <f>'Parameter Input'!C$162*'Parameter Input'!C$163</f>
        <v>955.73333333333335</v>
      </c>
      <c r="I28" s="105">
        <f t="shared" si="0"/>
        <v>0.8139072779605262</v>
      </c>
      <c r="J28" s="105">
        <f t="shared" si="1"/>
        <v>0</v>
      </c>
      <c r="K28">
        <v>12</v>
      </c>
      <c r="L28">
        <v>0.9</v>
      </c>
      <c r="M28">
        <v>0.4</v>
      </c>
    </row>
    <row r="29" spans="1:13" x14ac:dyDescent="0.35">
      <c r="A29">
        <v>28</v>
      </c>
      <c r="B29" t="s">
        <v>225</v>
      </c>
      <c r="C29" t="s">
        <v>86</v>
      </c>
      <c r="D29" t="s">
        <v>222</v>
      </c>
      <c r="E29" s="100">
        <f>'Parameter Input'!AM$150</f>
        <v>0.77787831578947364</v>
      </c>
      <c r="F29" s="100">
        <f>'Parameter Input'!AN$150</f>
        <v>0</v>
      </c>
      <c r="G29">
        <f>'Parameter Input'!B$174*'Parameter Input'!B$175</f>
        <v>955.73333333333335</v>
      </c>
      <c r="H29">
        <f>'Parameter Input'!C$174*'Parameter Input'!C$175</f>
        <v>955.73333333333335</v>
      </c>
      <c r="I29" s="105">
        <f t="shared" si="0"/>
        <v>0.8139072779605262</v>
      </c>
      <c r="J29" s="105">
        <f t="shared" si="1"/>
        <v>0</v>
      </c>
      <c r="K29">
        <v>12</v>
      </c>
      <c r="L29">
        <v>0.9</v>
      </c>
      <c r="M29">
        <v>0.4</v>
      </c>
    </row>
    <row r="30" spans="1:13" x14ac:dyDescent="0.35">
      <c r="A30">
        <v>29</v>
      </c>
      <c r="B30" t="s">
        <v>225</v>
      </c>
      <c r="C30" t="s">
        <v>86</v>
      </c>
      <c r="D30" t="s">
        <v>223</v>
      </c>
      <c r="E30" s="100">
        <f>'Parameter Input'!AM$150</f>
        <v>0.77787831578947364</v>
      </c>
      <c r="F30" s="100">
        <f>'Parameter Input'!AN$150</f>
        <v>0</v>
      </c>
      <c r="G30">
        <f>'Parameter Input'!B$186*'Parameter Input'!B$187</f>
        <v>1612.8000000000002</v>
      </c>
      <c r="H30">
        <f>'Parameter Input'!C$186*'Parameter Input'!C$187</f>
        <v>1612.8000000000002</v>
      </c>
      <c r="I30" s="105">
        <f t="shared" si="0"/>
        <v>0.48231542397660809</v>
      </c>
      <c r="J30" s="105">
        <f t="shared" si="1"/>
        <v>0</v>
      </c>
      <c r="K30">
        <v>12</v>
      </c>
      <c r="L30">
        <v>0.9</v>
      </c>
      <c r="M30">
        <v>0.4</v>
      </c>
    </row>
    <row r="31" spans="1:13" x14ac:dyDescent="0.35">
      <c r="A31">
        <v>30</v>
      </c>
      <c r="B31" t="s">
        <v>225</v>
      </c>
      <c r="C31" t="s">
        <v>86</v>
      </c>
      <c r="D31" t="s">
        <v>224</v>
      </c>
      <c r="E31" s="100">
        <f>'Parameter Input'!AM$150</f>
        <v>0.77787831578947364</v>
      </c>
      <c r="F31" s="100">
        <f>'Parameter Input'!AN$150</f>
        <v>0</v>
      </c>
      <c r="G31">
        <f>'Parameter Input'!B$197*'Parameter Input'!B$198</f>
        <v>1194.6666666666667</v>
      </c>
      <c r="H31">
        <f>'Parameter Input'!C$197*'Parameter Input'!C$198</f>
        <v>1194.6666666666667</v>
      </c>
      <c r="I31" s="105">
        <f t="shared" si="0"/>
        <v>0.65112582236842098</v>
      </c>
      <c r="J31" s="105">
        <f t="shared" si="1"/>
        <v>0</v>
      </c>
      <c r="K31">
        <v>12</v>
      </c>
      <c r="L31">
        <v>0.9</v>
      </c>
      <c r="M31">
        <v>0.4</v>
      </c>
    </row>
    <row r="32" spans="1:13" x14ac:dyDescent="0.35">
      <c r="A32">
        <v>31</v>
      </c>
      <c r="B32" t="s">
        <v>225</v>
      </c>
      <c r="C32" t="s">
        <v>102</v>
      </c>
      <c r="D32" t="s">
        <v>220</v>
      </c>
      <c r="E32" s="100">
        <f>'Parameter Input'!AC$150</f>
        <v>1.7621088524590158</v>
      </c>
      <c r="F32" s="100">
        <f>'Parameter Input'!AD$150</f>
        <v>0</v>
      </c>
      <c r="G32">
        <f>'Parameter Input'!B$150*'Parameter Input'!B$151</f>
        <v>1433.6000000000001</v>
      </c>
      <c r="H32">
        <f>'Parameter Input'!C$150*'Parameter Input'!C$151</f>
        <v>1433.6000000000001</v>
      </c>
      <c r="I32" s="105">
        <f t="shared" si="0"/>
        <v>1.229149590163934</v>
      </c>
      <c r="J32" s="105">
        <f t="shared" si="1"/>
        <v>0</v>
      </c>
      <c r="K32">
        <v>12</v>
      </c>
      <c r="L32">
        <v>0.9</v>
      </c>
      <c r="M32">
        <v>0.4</v>
      </c>
    </row>
    <row r="33" spans="1:13" x14ac:dyDescent="0.35">
      <c r="A33">
        <v>32</v>
      </c>
      <c r="B33" t="s">
        <v>225</v>
      </c>
      <c r="C33" t="s">
        <v>102</v>
      </c>
      <c r="D33" t="s">
        <v>221</v>
      </c>
      <c r="E33" s="100">
        <f>'Parameter Input'!AC$150</f>
        <v>1.7621088524590158</v>
      </c>
      <c r="F33" s="100">
        <f>'Parameter Input'!AD$150</f>
        <v>0</v>
      </c>
      <c r="G33">
        <f>'Parameter Input'!B$162*'Parameter Input'!B$163</f>
        <v>955.73333333333335</v>
      </c>
      <c r="H33">
        <f>'Parameter Input'!C$162*'Parameter Input'!C$163</f>
        <v>955.73333333333335</v>
      </c>
      <c r="I33" s="105">
        <f t="shared" si="0"/>
        <v>1.8437243852459011</v>
      </c>
      <c r="J33" s="105">
        <f t="shared" si="1"/>
        <v>0</v>
      </c>
      <c r="K33">
        <v>12</v>
      </c>
      <c r="L33">
        <v>0.9</v>
      </c>
      <c r="M33">
        <v>0.4</v>
      </c>
    </row>
    <row r="34" spans="1:13" x14ac:dyDescent="0.35">
      <c r="A34">
        <v>33</v>
      </c>
      <c r="B34" t="s">
        <v>225</v>
      </c>
      <c r="C34" t="s">
        <v>102</v>
      </c>
      <c r="D34" t="s">
        <v>222</v>
      </c>
      <c r="E34" s="100">
        <f>'Parameter Input'!AC$150</f>
        <v>1.7621088524590158</v>
      </c>
      <c r="F34" s="100">
        <f>'Parameter Input'!AD$150</f>
        <v>0</v>
      </c>
      <c r="G34">
        <f>'Parameter Input'!B$174*'Parameter Input'!B$175</f>
        <v>955.73333333333335</v>
      </c>
      <c r="H34">
        <f>'Parameter Input'!C$174*'Parameter Input'!C$175</f>
        <v>955.73333333333335</v>
      </c>
      <c r="I34" s="105">
        <f t="shared" si="0"/>
        <v>1.8437243852459011</v>
      </c>
      <c r="J34" s="105">
        <f t="shared" si="1"/>
        <v>0</v>
      </c>
      <c r="K34">
        <v>12</v>
      </c>
      <c r="L34">
        <v>0.9</v>
      </c>
      <c r="M34">
        <v>0.4</v>
      </c>
    </row>
    <row r="35" spans="1:13" x14ac:dyDescent="0.35">
      <c r="A35">
        <v>34</v>
      </c>
      <c r="B35" t="s">
        <v>225</v>
      </c>
      <c r="C35" t="s">
        <v>102</v>
      </c>
      <c r="D35" t="s">
        <v>223</v>
      </c>
      <c r="E35" s="100">
        <f>'Parameter Input'!AC$150</f>
        <v>1.7621088524590158</v>
      </c>
      <c r="F35" s="100">
        <f>'Parameter Input'!AD$150</f>
        <v>0</v>
      </c>
      <c r="G35">
        <f>'Parameter Input'!B$186*'Parameter Input'!B$187</f>
        <v>1612.8000000000002</v>
      </c>
      <c r="H35">
        <f>'Parameter Input'!C$186*'Parameter Input'!C$187</f>
        <v>1612.8000000000002</v>
      </c>
      <c r="I35" s="105">
        <f t="shared" si="0"/>
        <v>1.0925774134790525</v>
      </c>
      <c r="J35" s="105">
        <f t="shared" si="1"/>
        <v>0</v>
      </c>
      <c r="K35">
        <v>12</v>
      </c>
      <c r="L35">
        <v>0.9</v>
      </c>
      <c r="M35">
        <v>0.4</v>
      </c>
    </row>
    <row r="36" spans="1:13" x14ac:dyDescent="0.35">
      <c r="A36">
        <v>35</v>
      </c>
      <c r="B36" t="s">
        <v>225</v>
      </c>
      <c r="C36" t="s">
        <v>102</v>
      </c>
      <c r="D36" t="s">
        <v>224</v>
      </c>
      <c r="E36" s="100">
        <f>'Parameter Input'!AC$150</f>
        <v>1.7621088524590158</v>
      </c>
      <c r="F36" s="100">
        <f>'Parameter Input'!AD$150</f>
        <v>0</v>
      </c>
      <c r="G36">
        <f>'Parameter Input'!B$197*'Parameter Input'!B$198</f>
        <v>1194.6666666666667</v>
      </c>
      <c r="H36">
        <f>'Parameter Input'!C$197*'Parameter Input'!C$198</f>
        <v>1194.6666666666667</v>
      </c>
      <c r="I36" s="105">
        <f>E36/(G36)*1000</f>
        <v>1.4749795081967207</v>
      </c>
      <c r="J36" s="105">
        <f t="shared" si="1"/>
        <v>0</v>
      </c>
      <c r="K36">
        <v>12</v>
      </c>
      <c r="L36">
        <v>0.9</v>
      </c>
      <c r="M36">
        <v>0.4</v>
      </c>
    </row>
    <row r="37" spans="1:13" x14ac:dyDescent="0.35">
      <c r="A37">
        <v>36</v>
      </c>
      <c r="B37" t="s">
        <v>167</v>
      </c>
      <c r="C37" t="s">
        <v>275</v>
      </c>
      <c r="D37" t="s">
        <v>220</v>
      </c>
      <c r="E37" s="100">
        <f>'Parameter Input'!X$215</f>
        <v>172.49705634987384</v>
      </c>
      <c r="F37" s="100">
        <f>'Parameter Input'!Y$215</f>
        <v>159.9663582842725</v>
      </c>
      <c r="G37">
        <f>'Parameter Input'!B$215*'Parameter Input'!B$216</f>
        <v>6426.0000000000009</v>
      </c>
      <c r="H37">
        <f>'Parameter Input'!C$215*'Parameter Input'!C$216</f>
        <v>6426.0000000000009</v>
      </c>
      <c r="I37" s="105">
        <f t="shared" si="0"/>
        <v>26.843612877353536</v>
      </c>
      <c r="J37" s="105">
        <f t="shared" si="1"/>
        <v>24.893613178380406</v>
      </c>
      <c r="K37">
        <v>12</v>
      </c>
      <c r="L37">
        <v>0.9</v>
      </c>
      <c r="M37">
        <v>0.4</v>
      </c>
    </row>
    <row r="38" spans="1:13" x14ac:dyDescent="0.35">
      <c r="A38">
        <v>37</v>
      </c>
      <c r="B38" t="s">
        <v>167</v>
      </c>
      <c r="C38" t="s">
        <v>275</v>
      </c>
      <c r="D38" t="s">
        <v>221</v>
      </c>
      <c r="E38" s="100">
        <f>'Parameter Input'!X$215</f>
        <v>172.49705634987384</v>
      </c>
      <c r="F38" s="100">
        <f>'Parameter Input'!Y$215</f>
        <v>159.9663582842725</v>
      </c>
      <c r="G38" s="103"/>
      <c r="H38" s="103"/>
      <c r="I38" s="105"/>
      <c r="J38" s="105"/>
      <c r="K38">
        <v>12</v>
      </c>
      <c r="L38">
        <v>0.9</v>
      </c>
      <c r="M38">
        <v>0.4</v>
      </c>
    </row>
    <row r="39" spans="1:13" x14ac:dyDescent="0.35">
      <c r="A39">
        <v>38</v>
      </c>
      <c r="B39" t="s">
        <v>167</v>
      </c>
      <c r="C39" t="s">
        <v>275</v>
      </c>
      <c r="D39" t="s">
        <v>222</v>
      </c>
      <c r="E39" s="100">
        <f>'Parameter Input'!X$215</f>
        <v>172.49705634987384</v>
      </c>
      <c r="F39" s="100">
        <f>'Parameter Input'!Y$215</f>
        <v>159.9663582842725</v>
      </c>
      <c r="G39">
        <f>'Parameter Input'!B$227*'Parameter Input'!B$228</f>
        <v>5418</v>
      </c>
      <c r="H39">
        <f>'Parameter Input'!C$227*'Parameter Input'!C$228</f>
        <v>5418</v>
      </c>
      <c r="I39" s="105">
        <f t="shared" si="0"/>
        <v>31.83777341267513</v>
      </c>
      <c r="J39" s="105">
        <f t="shared" si="1"/>
        <v>29.524983072032576</v>
      </c>
      <c r="K39">
        <v>12</v>
      </c>
      <c r="L39">
        <v>0.9</v>
      </c>
      <c r="M39">
        <v>0.4</v>
      </c>
    </row>
    <row r="40" spans="1:13" x14ac:dyDescent="0.35">
      <c r="A40">
        <v>39</v>
      </c>
      <c r="B40" t="s">
        <v>167</v>
      </c>
      <c r="C40" t="s">
        <v>275</v>
      </c>
      <c r="D40" t="s">
        <v>223</v>
      </c>
      <c r="E40" s="100">
        <f>'Parameter Input'!X$215</f>
        <v>172.49705634987384</v>
      </c>
      <c r="F40" s="100">
        <f>'Parameter Input'!Y$215</f>
        <v>159.9663582842725</v>
      </c>
      <c r="G40">
        <f>'Parameter Input'!B$239*'Parameter Input'!B$240</f>
        <v>4914</v>
      </c>
      <c r="H40">
        <f>'Parameter Input'!C$239*'Parameter Input'!C$240</f>
        <v>4914</v>
      </c>
      <c r="I40" s="105">
        <f t="shared" si="0"/>
        <v>35.103186070385398</v>
      </c>
      <c r="J40" s="105">
        <f t="shared" si="1"/>
        <v>32.553186464035917</v>
      </c>
      <c r="K40">
        <v>12</v>
      </c>
      <c r="L40">
        <v>0.9</v>
      </c>
      <c r="M40">
        <v>0.4</v>
      </c>
    </row>
    <row r="41" spans="1:13" x14ac:dyDescent="0.35">
      <c r="A41">
        <v>40</v>
      </c>
      <c r="B41" t="s">
        <v>167</v>
      </c>
      <c r="C41" t="s">
        <v>275</v>
      </c>
      <c r="D41" t="s">
        <v>224</v>
      </c>
      <c r="E41" s="100">
        <f>'Parameter Input'!X$215</f>
        <v>172.49705634987384</v>
      </c>
      <c r="F41" s="100">
        <f>'Parameter Input'!Y$215</f>
        <v>159.9663582842725</v>
      </c>
      <c r="G41">
        <f>'Parameter Input'!B$252*'Parameter Input'!B$253</f>
        <v>6426.0000000000009</v>
      </c>
      <c r="H41">
        <f>'Parameter Input'!C$252*'Parameter Input'!C$253</f>
        <v>6426.0000000000009</v>
      </c>
      <c r="I41" s="105">
        <f t="shared" si="0"/>
        <v>26.843612877353536</v>
      </c>
      <c r="J41" s="105">
        <f t="shared" si="1"/>
        <v>24.893613178380406</v>
      </c>
      <c r="K41">
        <v>12</v>
      </c>
      <c r="L41">
        <v>0.9</v>
      </c>
      <c r="M41">
        <v>0.4</v>
      </c>
    </row>
    <row r="42" spans="1:13" x14ac:dyDescent="0.35">
      <c r="A42">
        <v>41</v>
      </c>
      <c r="B42" t="s">
        <v>167</v>
      </c>
      <c r="C42" t="s">
        <v>276</v>
      </c>
      <c r="D42" t="s">
        <v>220</v>
      </c>
      <c r="E42" s="100">
        <f>'Parameter Input'!AC$215</f>
        <v>181.77348551360842</v>
      </c>
      <c r="F42" s="100">
        <f>'Parameter Input'!AD$215</f>
        <v>168.56892010535557</v>
      </c>
      <c r="G42">
        <f>'Parameter Input'!B$215*'Parameter Input'!B$216</f>
        <v>6426.0000000000009</v>
      </c>
      <c r="H42">
        <f>'Parameter Input'!C$215*'Parameter Input'!C$216</f>
        <v>6426.0000000000009</v>
      </c>
      <c r="I42" s="105">
        <f t="shared" si="0"/>
        <v>28.287190400499284</v>
      </c>
      <c r="J42" s="105">
        <f t="shared" si="1"/>
        <v>26.232324946367186</v>
      </c>
      <c r="K42">
        <v>12</v>
      </c>
      <c r="L42">
        <v>0.9</v>
      </c>
      <c r="M42">
        <v>0.4</v>
      </c>
    </row>
    <row r="43" spans="1:13" x14ac:dyDescent="0.35">
      <c r="A43">
        <v>42</v>
      </c>
      <c r="B43" t="s">
        <v>167</v>
      </c>
      <c r="C43" t="s">
        <v>276</v>
      </c>
      <c r="D43" t="s">
        <v>221</v>
      </c>
      <c r="E43" s="100">
        <f>'Parameter Input'!AC$215</f>
        <v>181.77348551360842</v>
      </c>
      <c r="F43" s="100">
        <f>'Parameter Input'!AD$215</f>
        <v>168.56892010535557</v>
      </c>
      <c r="G43" s="121"/>
      <c r="H43" s="121"/>
      <c r="I43" s="105"/>
      <c r="J43" s="105"/>
      <c r="K43">
        <v>12</v>
      </c>
      <c r="L43">
        <v>0.9</v>
      </c>
      <c r="M43">
        <v>0.4</v>
      </c>
    </row>
    <row r="44" spans="1:13" x14ac:dyDescent="0.35">
      <c r="A44">
        <v>43</v>
      </c>
      <c r="B44" t="s">
        <v>167</v>
      </c>
      <c r="C44" t="s">
        <v>276</v>
      </c>
      <c r="D44" t="s">
        <v>222</v>
      </c>
      <c r="E44" s="100">
        <f>'Parameter Input'!AC$215</f>
        <v>181.77348551360842</v>
      </c>
      <c r="F44" s="100">
        <f>'Parameter Input'!AD$215</f>
        <v>168.56892010535557</v>
      </c>
      <c r="G44">
        <f>'Parameter Input'!B$227*'Parameter Input'!B$228</f>
        <v>5418</v>
      </c>
      <c r="H44">
        <f>'Parameter Input'!C$227*'Parameter Input'!C$228</f>
        <v>5418</v>
      </c>
      <c r="I44" s="105">
        <f t="shared" si="0"/>
        <v>33.549923498266594</v>
      </c>
      <c r="J44" s="105">
        <f t="shared" si="1"/>
        <v>31.11275749452853</v>
      </c>
      <c r="K44">
        <v>12</v>
      </c>
      <c r="L44">
        <v>0.9</v>
      </c>
      <c r="M44">
        <v>0.4</v>
      </c>
    </row>
    <row r="45" spans="1:13" x14ac:dyDescent="0.35">
      <c r="A45">
        <v>44</v>
      </c>
      <c r="B45" t="s">
        <v>167</v>
      </c>
      <c r="C45" t="s">
        <v>276</v>
      </c>
      <c r="D45" t="s">
        <v>223</v>
      </c>
      <c r="E45" s="100">
        <f>'Parameter Input'!AC$215</f>
        <v>181.77348551360842</v>
      </c>
      <c r="F45" s="100">
        <f>'Parameter Input'!AD$215</f>
        <v>168.56892010535557</v>
      </c>
      <c r="G45">
        <f>'Parameter Input'!B$239*'Parameter Input'!B$240</f>
        <v>4914</v>
      </c>
      <c r="H45">
        <f>'Parameter Input'!C$239*'Parameter Input'!C$240</f>
        <v>4914</v>
      </c>
      <c r="I45" s="105">
        <f t="shared" si="0"/>
        <v>36.990941292960606</v>
      </c>
      <c r="J45" s="105">
        <f t="shared" si="1"/>
        <v>34.303809545249408</v>
      </c>
      <c r="K45">
        <v>12</v>
      </c>
      <c r="L45">
        <v>0.9</v>
      </c>
      <c r="M45">
        <v>0.4</v>
      </c>
    </row>
    <row r="46" spans="1:13" x14ac:dyDescent="0.35">
      <c r="A46">
        <v>45</v>
      </c>
      <c r="B46" t="s">
        <v>167</v>
      </c>
      <c r="C46" t="s">
        <v>276</v>
      </c>
      <c r="D46" t="s">
        <v>224</v>
      </c>
      <c r="E46" s="100">
        <f>'Parameter Input'!AC$215</f>
        <v>181.77348551360842</v>
      </c>
      <c r="F46" s="100">
        <f>'Parameter Input'!AD$215</f>
        <v>168.56892010535557</v>
      </c>
      <c r="G46">
        <f>'Parameter Input'!B$252*'Parameter Input'!B$253</f>
        <v>6426.0000000000009</v>
      </c>
      <c r="H46">
        <f>'Parameter Input'!C$252*'Parameter Input'!C$253</f>
        <v>6426.0000000000009</v>
      </c>
      <c r="I46" s="105">
        <f t="shared" si="0"/>
        <v>28.287190400499284</v>
      </c>
      <c r="J46" s="105">
        <f t="shared" si="1"/>
        <v>26.232324946367186</v>
      </c>
      <c r="K46">
        <v>12</v>
      </c>
      <c r="L46">
        <v>0.9</v>
      </c>
      <c r="M46">
        <v>0.4</v>
      </c>
    </row>
    <row r="47" spans="1:13" x14ac:dyDescent="0.35">
      <c r="A47">
        <v>46</v>
      </c>
      <c r="B47" t="s">
        <v>167</v>
      </c>
      <c r="C47" t="s">
        <v>102</v>
      </c>
      <c r="D47" t="s">
        <v>220</v>
      </c>
      <c r="E47" s="100">
        <f>'Parameter Input'!AH$215</f>
        <v>24.449056603773585</v>
      </c>
      <c r="F47" s="100">
        <f>'Parameter Input'!AI$215</f>
        <v>0</v>
      </c>
      <c r="G47">
        <f>'Parameter Input'!B$215*'Parameter Input'!B$216</f>
        <v>6426.0000000000009</v>
      </c>
      <c r="H47">
        <f>'Parameter Input'!C$215*'Parameter Input'!C$216</f>
        <v>6426.0000000000009</v>
      </c>
      <c r="I47" s="105">
        <f t="shared" si="0"/>
        <v>3.8047084661957018</v>
      </c>
      <c r="J47" s="105">
        <f t="shared" si="1"/>
        <v>0</v>
      </c>
      <c r="K47">
        <v>12</v>
      </c>
      <c r="L47">
        <v>0.9</v>
      </c>
      <c r="M47">
        <v>0.4</v>
      </c>
    </row>
    <row r="48" spans="1:13" x14ac:dyDescent="0.35">
      <c r="A48">
        <v>47</v>
      </c>
      <c r="B48" t="s">
        <v>167</v>
      </c>
      <c r="C48" t="s">
        <v>102</v>
      </c>
      <c r="D48" t="s">
        <v>221</v>
      </c>
      <c r="E48" s="100">
        <f>'Parameter Input'!AH$215</f>
        <v>24.449056603773585</v>
      </c>
      <c r="F48" s="100">
        <f>'Parameter Input'!AI$215</f>
        <v>0</v>
      </c>
      <c r="G48" s="103"/>
      <c r="H48" s="103"/>
      <c r="I48" s="105"/>
      <c r="J48" s="105"/>
      <c r="K48">
        <v>12</v>
      </c>
      <c r="L48">
        <v>0.9</v>
      </c>
      <c r="M48">
        <v>0.4</v>
      </c>
    </row>
    <row r="49" spans="1:13" x14ac:dyDescent="0.35">
      <c r="A49">
        <v>48</v>
      </c>
      <c r="B49" t="s">
        <v>167</v>
      </c>
      <c r="C49" t="s">
        <v>102</v>
      </c>
      <c r="D49" t="s">
        <v>222</v>
      </c>
      <c r="E49" s="100">
        <f>'Parameter Input'!AH$215</f>
        <v>24.449056603773585</v>
      </c>
      <c r="F49" s="100">
        <f>'Parameter Input'!AI$215</f>
        <v>0</v>
      </c>
      <c r="G49">
        <f>'Parameter Input'!B$227*'Parameter Input'!B$228</f>
        <v>5418</v>
      </c>
      <c r="H49">
        <f>'Parameter Input'!C$227*'Parameter Input'!C$228</f>
        <v>5418</v>
      </c>
      <c r="I49" s="105">
        <f t="shared" si="0"/>
        <v>4.5125612040925773</v>
      </c>
      <c r="J49" s="105">
        <f t="shared" si="1"/>
        <v>0</v>
      </c>
      <c r="K49">
        <v>12</v>
      </c>
      <c r="L49">
        <v>0.9</v>
      </c>
      <c r="M49">
        <v>0.4</v>
      </c>
    </row>
    <row r="50" spans="1:13" x14ac:dyDescent="0.35">
      <c r="A50">
        <v>49</v>
      </c>
      <c r="B50" t="s">
        <v>167</v>
      </c>
      <c r="C50" t="s">
        <v>102</v>
      </c>
      <c r="D50" t="s">
        <v>223</v>
      </c>
      <c r="E50" s="100">
        <f>'Parameter Input'!AH$215</f>
        <v>24.449056603773585</v>
      </c>
      <c r="F50" s="100">
        <f>'Parameter Input'!AI$215</f>
        <v>0</v>
      </c>
      <c r="G50">
        <f>'Parameter Input'!B$239*'Parameter Input'!B$240</f>
        <v>4914</v>
      </c>
      <c r="H50">
        <f>'Parameter Input'!C$239*'Parameter Input'!C$240</f>
        <v>4914</v>
      </c>
      <c r="I50" s="105">
        <f t="shared" si="0"/>
        <v>4.975387994255918</v>
      </c>
      <c r="J50" s="105">
        <f t="shared" si="1"/>
        <v>0</v>
      </c>
      <c r="K50">
        <v>12</v>
      </c>
      <c r="L50">
        <v>0.9</v>
      </c>
      <c r="M50">
        <v>0.4</v>
      </c>
    </row>
    <row r="51" spans="1:13" x14ac:dyDescent="0.35">
      <c r="A51">
        <v>50</v>
      </c>
      <c r="B51" t="s">
        <v>167</v>
      </c>
      <c r="C51" t="s">
        <v>102</v>
      </c>
      <c r="D51" t="s">
        <v>224</v>
      </c>
      <c r="E51" s="100">
        <f>'Parameter Input'!AH$215</f>
        <v>24.449056603773585</v>
      </c>
      <c r="F51" s="100">
        <f>'Parameter Input'!AI$215</f>
        <v>0</v>
      </c>
      <c r="G51">
        <f>'Parameter Input'!B$252*'Parameter Input'!B$253</f>
        <v>6426.0000000000009</v>
      </c>
      <c r="H51">
        <f>'Parameter Input'!C$252*'Parameter Input'!C$253</f>
        <v>6426.0000000000009</v>
      </c>
      <c r="I51" s="105">
        <f t="shared" si="0"/>
        <v>3.8047084661957018</v>
      </c>
      <c r="J51" s="105">
        <f t="shared" si="1"/>
        <v>0</v>
      </c>
      <c r="K51">
        <v>12</v>
      </c>
      <c r="L51">
        <v>0.9</v>
      </c>
      <c r="M51">
        <v>0.4</v>
      </c>
    </row>
    <row r="52" spans="1:13" x14ac:dyDescent="0.35">
      <c r="A52">
        <v>51</v>
      </c>
      <c r="B52" t="s">
        <v>167</v>
      </c>
      <c r="C52" t="s">
        <v>185</v>
      </c>
      <c r="D52" t="s">
        <v>220</v>
      </c>
      <c r="E52" s="100">
        <f>'Parameter Input'!AM$215</f>
        <v>24.919230769230765</v>
      </c>
      <c r="F52" s="100">
        <f>'Parameter Input'!AN$215</f>
        <v>0</v>
      </c>
      <c r="G52">
        <f>'Parameter Input'!B$215*'Parameter Input'!B$216</f>
        <v>6426.0000000000009</v>
      </c>
      <c r="H52">
        <f>'Parameter Input'!C$215*'Parameter Input'!C$216</f>
        <v>6426.0000000000009</v>
      </c>
      <c r="I52" s="105">
        <f t="shared" si="0"/>
        <v>3.8778759366994646</v>
      </c>
      <c r="J52" s="105">
        <f t="shared" si="1"/>
        <v>0</v>
      </c>
      <c r="K52">
        <v>12</v>
      </c>
      <c r="L52">
        <v>0.9</v>
      </c>
      <c r="M52">
        <v>0.4</v>
      </c>
    </row>
    <row r="53" spans="1:13" x14ac:dyDescent="0.35">
      <c r="A53">
        <v>52</v>
      </c>
      <c r="B53" t="s">
        <v>167</v>
      </c>
      <c r="C53" t="s">
        <v>185</v>
      </c>
      <c r="D53" t="s">
        <v>221</v>
      </c>
      <c r="E53" s="100">
        <f>'Parameter Input'!AM$215</f>
        <v>24.919230769230765</v>
      </c>
      <c r="F53" s="100">
        <f>'Parameter Input'!AN$215</f>
        <v>0</v>
      </c>
      <c r="G53" s="103"/>
      <c r="H53" s="103"/>
      <c r="I53" s="105"/>
      <c r="J53" s="105"/>
      <c r="K53">
        <v>12</v>
      </c>
      <c r="L53">
        <v>0.9</v>
      </c>
      <c r="M53">
        <v>0.4</v>
      </c>
    </row>
    <row r="54" spans="1:13" x14ac:dyDescent="0.35">
      <c r="A54">
        <v>53</v>
      </c>
      <c r="B54" t="s">
        <v>167</v>
      </c>
      <c r="C54" t="s">
        <v>185</v>
      </c>
      <c r="D54" t="s">
        <v>222</v>
      </c>
      <c r="E54" s="100">
        <f>'Parameter Input'!AM$215</f>
        <v>24.919230769230765</v>
      </c>
      <c r="F54" s="100">
        <f>'Parameter Input'!AN$215</f>
        <v>0</v>
      </c>
      <c r="G54">
        <f>'Parameter Input'!B$227*'Parameter Input'!B$228</f>
        <v>5418</v>
      </c>
      <c r="H54">
        <f>'Parameter Input'!C$227*'Parameter Input'!C$228</f>
        <v>5418</v>
      </c>
      <c r="I54" s="105">
        <f t="shared" si="0"/>
        <v>4.5993412272482033</v>
      </c>
      <c r="J54" s="105">
        <f t="shared" si="1"/>
        <v>0</v>
      </c>
      <c r="K54">
        <v>12</v>
      </c>
      <c r="L54">
        <v>0.9</v>
      </c>
      <c r="M54">
        <v>0.4</v>
      </c>
    </row>
    <row r="55" spans="1:13" x14ac:dyDescent="0.35">
      <c r="A55">
        <v>54</v>
      </c>
      <c r="B55" t="s">
        <v>167</v>
      </c>
      <c r="C55" t="s">
        <v>185</v>
      </c>
      <c r="D55" t="s">
        <v>223</v>
      </c>
      <c r="E55" s="100">
        <f>'Parameter Input'!AM$215</f>
        <v>24.919230769230765</v>
      </c>
      <c r="F55" s="100">
        <f>'Parameter Input'!AN$215</f>
        <v>0</v>
      </c>
      <c r="G55">
        <f>'Parameter Input'!B$239*'Parameter Input'!B$240</f>
        <v>4914</v>
      </c>
      <c r="H55">
        <f>'Parameter Input'!C$239*'Parameter Input'!C$240</f>
        <v>4914</v>
      </c>
      <c r="I55" s="105">
        <f t="shared" si="0"/>
        <v>5.0710685326069926</v>
      </c>
      <c r="J55" s="105">
        <f t="shared" si="1"/>
        <v>0</v>
      </c>
      <c r="K55">
        <v>12</v>
      </c>
      <c r="L55">
        <v>0.9</v>
      </c>
      <c r="M55">
        <v>0.4</v>
      </c>
    </row>
    <row r="56" spans="1:13" x14ac:dyDescent="0.35">
      <c r="A56">
        <v>55</v>
      </c>
      <c r="B56" t="s">
        <v>167</v>
      </c>
      <c r="C56" t="s">
        <v>185</v>
      </c>
      <c r="D56" t="s">
        <v>224</v>
      </c>
      <c r="E56" s="100">
        <f>'Parameter Input'!AM$215</f>
        <v>24.919230769230765</v>
      </c>
      <c r="F56" s="100">
        <f>'Parameter Input'!AN$215</f>
        <v>0</v>
      </c>
      <c r="G56">
        <f>'Parameter Input'!B$252*'Parameter Input'!B$253</f>
        <v>6426.0000000000009</v>
      </c>
      <c r="H56">
        <f>'Parameter Input'!C$252*'Parameter Input'!C$253</f>
        <v>6426.0000000000009</v>
      </c>
      <c r="I56" s="105">
        <f t="shared" si="0"/>
        <v>3.8778759366994646</v>
      </c>
      <c r="J56" s="105">
        <f t="shared" si="1"/>
        <v>0</v>
      </c>
      <c r="K56">
        <v>12</v>
      </c>
      <c r="L56">
        <v>0.9</v>
      </c>
      <c r="M56">
        <v>0.4</v>
      </c>
    </row>
    <row r="57" spans="1:13" x14ac:dyDescent="0.35">
      <c r="A57">
        <v>56</v>
      </c>
      <c r="B57" t="s">
        <v>167</v>
      </c>
      <c r="C57" t="s">
        <v>186</v>
      </c>
      <c r="D57" t="s">
        <v>220</v>
      </c>
      <c r="E57" s="100">
        <f>'Parameter Input'!AR$215</f>
        <v>31.631111111111107</v>
      </c>
      <c r="F57" s="100">
        <f>'Parameter Input'!AS$215</f>
        <v>0</v>
      </c>
      <c r="G57">
        <f>'Parameter Input'!B$215*'Parameter Input'!B$216</f>
        <v>6426.0000000000009</v>
      </c>
      <c r="H57">
        <f>'Parameter Input'!C$215*'Parameter Input'!C$216</f>
        <v>6426.0000000000009</v>
      </c>
      <c r="I57" s="105">
        <f t="shared" si="0"/>
        <v>4.9223640073313257</v>
      </c>
      <c r="J57" s="105">
        <f t="shared" si="1"/>
        <v>0</v>
      </c>
      <c r="K57">
        <v>12</v>
      </c>
      <c r="L57">
        <v>0.9</v>
      </c>
      <c r="M57">
        <v>0.4</v>
      </c>
    </row>
    <row r="58" spans="1:13" x14ac:dyDescent="0.35">
      <c r="A58">
        <v>57</v>
      </c>
      <c r="B58" t="s">
        <v>167</v>
      </c>
      <c r="C58" t="s">
        <v>186</v>
      </c>
      <c r="D58" t="s">
        <v>221</v>
      </c>
      <c r="E58" s="100">
        <f>'Parameter Input'!AR$215</f>
        <v>31.631111111111107</v>
      </c>
      <c r="F58" s="100">
        <f>'Parameter Input'!AS$215</f>
        <v>0</v>
      </c>
      <c r="G58" s="103"/>
      <c r="H58" s="103"/>
      <c r="I58" s="105"/>
      <c r="J58" s="105"/>
      <c r="K58">
        <v>12</v>
      </c>
      <c r="L58">
        <v>0.9</v>
      </c>
      <c r="M58">
        <v>0.4</v>
      </c>
    </row>
    <row r="59" spans="1:13" x14ac:dyDescent="0.35">
      <c r="A59">
        <v>58</v>
      </c>
      <c r="B59" t="s">
        <v>167</v>
      </c>
      <c r="C59" t="s">
        <v>186</v>
      </c>
      <c r="D59" t="s">
        <v>222</v>
      </c>
      <c r="E59" s="100">
        <f>'Parameter Input'!AR$215</f>
        <v>31.631111111111107</v>
      </c>
      <c r="F59" s="100">
        <f>'Parameter Input'!AS$215</f>
        <v>0</v>
      </c>
      <c r="G59">
        <f>'Parameter Input'!B$227*'Parameter Input'!B$228</f>
        <v>5418</v>
      </c>
      <c r="H59">
        <f>'Parameter Input'!C$227*'Parameter Input'!C$228</f>
        <v>5418</v>
      </c>
      <c r="I59" s="105">
        <f t="shared" si="0"/>
        <v>5.8381526598580855</v>
      </c>
      <c r="J59" s="105">
        <f t="shared" si="1"/>
        <v>0</v>
      </c>
      <c r="K59">
        <v>12</v>
      </c>
      <c r="L59">
        <v>0.9</v>
      </c>
      <c r="M59">
        <v>0.4</v>
      </c>
    </row>
    <row r="60" spans="1:13" x14ac:dyDescent="0.35">
      <c r="A60">
        <v>59</v>
      </c>
      <c r="B60" t="s">
        <v>167</v>
      </c>
      <c r="C60" t="s">
        <v>186</v>
      </c>
      <c r="D60" t="s">
        <v>223</v>
      </c>
      <c r="E60" s="100">
        <f>'Parameter Input'!AR$215</f>
        <v>31.631111111111107</v>
      </c>
      <c r="F60" s="100">
        <f>'Parameter Input'!AS$215</f>
        <v>0</v>
      </c>
      <c r="G60">
        <f>'Parameter Input'!B$239*'Parameter Input'!B$240</f>
        <v>4914</v>
      </c>
      <c r="H60">
        <f>'Parameter Input'!C$239*'Parameter Input'!C$240</f>
        <v>4914</v>
      </c>
      <c r="I60" s="105">
        <f t="shared" si="0"/>
        <v>6.4369375480486575</v>
      </c>
      <c r="J60" s="105">
        <f t="shared" si="1"/>
        <v>0</v>
      </c>
      <c r="K60">
        <v>12</v>
      </c>
      <c r="L60">
        <v>0.9</v>
      </c>
      <c r="M60">
        <v>0.4</v>
      </c>
    </row>
    <row r="61" spans="1:13" x14ac:dyDescent="0.35">
      <c r="A61">
        <v>60</v>
      </c>
      <c r="B61" t="s">
        <v>167</v>
      </c>
      <c r="C61" t="s">
        <v>186</v>
      </c>
      <c r="D61" t="s">
        <v>224</v>
      </c>
      <c r="E61" s="100">
        <f>'Parameter Input'!AR$215</f>
        <v>31.631111111111107</v>
      </c>
      <c r="F61" s="100">
        <f>'Parameter Input'!AS$215</f>
        <v>0</v>
      </c>
      <c r="G61">
        <f>'Parameter Input'!B$252*'Parameter Input'!B$253</f>
        <v>6426.0000000000009</v>
      </c>
      <c r="H61">
        <f>'Parameter Input'!C$252*'Parameter Input'!C$253</f>
        <v>6426.0000000000009</v>
      </c>
      <c r="I61" s="105">
        <f t="shared" si="0"/>
        <v>4.9223640073313257</v>
      </c>
      <c r="J61" s="105">
        <f t="shared" si="1"/>
        <v>0</v>
      </c>
      <c r="K61">
        <v>12</v>
      </c>
      <c r="L61">
        <v>0.9</v>
      </c>
      <c r="M61">
        <v>0.4</v>
      </c>
    </row>
  </sheetData>
  <autoFilter ref="A1:J62" xr:uid="{B107BC15-4EA9-4CE0-8790-9314B23FDF92}">
    <sortState xmlns:xlrd2="http://schemas.microsoft.com/office/spreadsheetml/2017/richdata2" ref="A2:J62">
      <sortCondition ref="A1:A62"/>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868A6-BD3F-4CEE-954D-E5C253228256}">
  <dimension ref="A1:AM509"/>
  <sheetViews>
    <sheetView zoomScale="70" zoomScaleNormal="70" workbookViewId="0">
      <selection activeCell="X57" sqref="X57"/>
    </sheetView>
  </sheetViews>
  <sheetFormatPr defaultColWidth="8.6328125" defaultRowHeight="14.5" x14ac:dyDescent="0.35"/>
  <cols>
    <col min="1" max="3" width="8.6328125" style="122"/>
    <col min="4" max="4" width="12.54296875" style="122" bestFit="1" customWidth="1"/>
    <col min="5" max="12" width="8.6328125" style="122"/>
    <col min="13" max="13" width="12.54296875" style="122" bestFit="1" customWidth="1"/>
    <col min="14" max="32" width="8.6328125" style="122"/>
    <col min="33" max="33" width="10.453125" style="122" bestFit="1" customWidth="1"/>
    <col min="34" max="34" width="8.453125" style="122" bestFit="1" customWidth="1"/>
    <col min="35" max="35" width="11.453125" style="122" bestFit="1" customWidth="1"/>
    <col min="36" max="16384" width="8.6328125" style="122"/>
  </cols>
  <sheetData>
    <row r="1" spans="1:39" x14ac:dyDescent="0.35">
      <c r="H1" s="129" t="s">
        <v>420</v>
      </c>
      <c r="AG1" t="s">
        <v>411</v>
      </c>
      <c r="AH1" t="s">
        <v>412</v>
      </c>
      <c r="AI1" t="s">
        <v>413</v>
      </c>
      <c r="AJ1" t="s">
        <v>217</v>
      </c>
      <c r="AK1" t="s">
        <v>414</v>
      </c>
      <c r="AL1" t="s">
        <v>218</v>
      </c>
      <c r="AM1" t="s">
        <v>415</v>
      </c>
    </row>
    <row r="2" spans="1:39" x14ac:dyDescent="0.35">
      <c r="AG2" s="122" t="s">
        <v>419</v>
      </c>
      <c r="AH2" s="122" t="s">
        <v>416</v>
      </c>
      <c r="AI2" s="122">
        <v>2023</v>
      </c>
      <c r="AJ2" s="122" t="str">
        <f>A7</f>
        <v>Road</v>
      </c>
      <c r="AK2" s="122" t="str">
        <f>B7</f>
        <v>Dry bulk</v>
      </c>
      <c r="AL2" s="122" t="str">
        <f>C7</f>
        <v>Diesel</v>
      </c>
      <c r="AM2" s="132">
        <f>I7</f>
        <v>1</v>
      </c>
    </row>
    <row r="3" spans="1:39" x14ac:dyDescent="0.35">
      <c r="D3" s="147">
        <v>2023</v>
      </c>
      <c r="E3" s="147"/>
      <c r="F3" s="147"/>
      <c r="G3" s="147"/>
      <c r="H3" s="147"/>
      <c r="I3" s="147"/>
      <c r="J3" s="147"/>
      <c r="K3" s="147"/>
      <c r="M3" s="147">
        <v>2034</v>
      </c>
      <c r="N3" s="147"/>
      <c r="O3" s="147"/>
      <c r="P3" s="147"/>
      <c r="Q3" s="147"/>
      <c r="R3" s="147"/>
      <c r="S3" s="147"/>
      <c r="T3" s="147"/>
      <c r="W3" s="147">
        <v>2050</v>
      </c>
      <c r="X3" s="147"/>
      <c r="Y3" s="147"/>
      <c r="Z3" s="147"/>
      <c r="AA3" s="147"/>
      <c r="AB3" s="147"/>
      <c r="AC3" s="147"/>
      <c r="AD3" s="147"/>
      <c r="AE3" s="147"/>
      <c r="AG3" s="122" t="s">
        <v>86</v>
      </c>
      <c r="AH3" s="122" t="s">
        <v>416</v>
      </c>
      <c r="AI3" s="122">
        <v>2023</v>
      </c>
      <c r="AJ3" s="122" t="str">
        <f t="shared" ref="AJ3:AL3" si="0">A8</f>
        <v>Road</v>
      </c>
      <c r="AK3" s="122" t="str">
        <f t="shared" si="0"/>
        <v>Dry bulk</v>
      </c>
      <c r="AL3" s="122" t="str">
        <f t="shared" si="0"/>
        <v>Battery</v>
      </c>
      <c r="AM3" s="132">
        <f t="shared" ref="AM3:AM16" si="1">I8</f>
        <v>1</v>
      </c>
    </row>
    <row r="4" spans="1:39" x14ac:dyDescent="0.35">
      <c r="AG4" s="122" t="s">
        <v>102</v>
      </c>
      <c r="AH4" s="122" t="s">
        <v>416</v>
      </c>
      <c r="AI4" s="122">
        <v>2023</v>
      </c>
      <c r="AJ4" s="122" t="str">
        <f t="shared" ref="AJ4:AL4" si="2">A9</f>
        <v>Road</v>
      </c>
      <c r="AK4" s="122" t="str">
        <f t="shared" si="2"/>
        <v>Dry bulk</v>
      </c>
      <c r="AL4" s="122" t="str">
        <f t="shared" si="2"/>
        <v>Hydrogen</v>
      </c>
      <c r="AM4" s="132">
        <f t="shared" si="1"/>
        <v>1</v>
      </c>
    </row>
    <row r="5" spans="1:39" x14ac:dyDescent="0.35">
      <c r="A5" s="122" t="s">
        <v>407</v>
      </c>
      <c r="I5" s="147" t="s">
        <v>410</v>
      </c>
      <c r="J5" s="147"/>
      <c r="K5" s="147"/>
      <c r="R5" s="147" t="s">
        <v>410</v>
      </c>
      <c r="S5" s="147"/>
      <c r="T5" s="147"/>
      <c r="AB5" s="147" t="s">
        <v>410</v>
      </c>
      <c r="AC5" s="147"/>
      <c r="AD5" s="147"/>
      <c r="AG5" s="122" t="s">
        <v>419</v>
      </c>
      <c r="AH5" s="122" t="s">
        <v>416</v>
      </c>
      <c r="AI5" s="122">
        <v>2023</v>
      </c>
      <c r="AJ5" s="122" t="str">
        <f t="shared" ref="AJ5:AL5" si="3">A10</f>
        <v>Road</v>
      </c>
      <c r="AK5" s="122" t="str">
        <f t="shared" si="3"/>
        <v>Liquid bulk</v>
      </c>
      <c r="AL5" s="122" t="str">
        <f t="shared" si="3"/>
        <v>Diesel</v>
      </c>
      <c r="AM5" s="132">
        <f t="shared" si="1"/>
        <v>1</v>
      </c>
    </row>
    <row r="6" spans="1:39" x14ac:dyDescent="0.35">
      <c r="D6" s="129" t="s">
        <v>409</v>
      </c>
      <c r="E6" s="122" t="s">
        <v>416</v>
      </c>
      <c r="F6" s="122" t="s">
        <v>417</v>
      </c>
      <c r="G6" s="122" t="s">
        <v>418</v>
      </c>
      <c r="I6" s="122" t="s">
        <v>416</v>
      </c>
      <c r="J6" s="122" t="s">
        <v>417</v>
      </c>
      <c r="K6" s="122" t="s">
        <v>418</v>
      </c>
      <c r="M6" s="129" t="s">
        <v>409</v>
      </c>
      <c r="N6" s="122" t="s">
        <v>416</v>
      </c>
      <c r="O6" s="122" t="s">
        <v>417</v>
      </c>
      <c r="P6" s="122" t="s">
        <v>418</v>
      </c>
      <c r="R6" s="122" t="s">
        <v>416</v>
      </c>
      <c r="S6" s="122" t="s">
        <v>417</v>
      </c>
      <c r="T6" s="122" t="s">
        <v>418</v>
      </c>
      <c r="W6" s="129" t="s">
        <v>409</v>
      </c>
      <c r="X6" s="122" t="s">
        <v>416</v>
      </c>
      <c r="Y6" s="122" t="s">
        <v>417</v>
      </c>
      <c r="Z6" s="122" t="s">
        <v>418</v>
      </c>
      <c r="AB6" s="122" t="s">
        <v>416</v>
      </c>
      <c r="AC6" s="122" t="s">
        <v>417</v>
      </c>
      <c r="AD6" s="122" t="s">
        <v>418</v>
      </c>
      <c r="AG6" s="122" t="s">
        <v>86</v>
      </c>
      <c r="AH6" s="122" t="s">
        <v>416</v>
      </c>
      <c r="AI6" s="122">
        <v>2023</v>
      </c>
      <c r="AJ6" s="122" t="str">
        <f t="shared" ref="AJ6:AL6" si="4">A11</f>
        <v>Road</v>
      </c>
      <c r="AK6" s="122" t="str">
        <f t="shared" si="4"/>
        <v>Liquid bulk</v>
      </c>
      <c r="AL6" s="122" t="str">
        <f t="shared" si="4"/>
        <v>Battery</v>
      </c>
      <c r="AM6" s="132">
        <f t="shared" si="1"/>
        <v>1</v>
      </c>
    </row>
    <row r="7" spans="1:39" x14ac:dyDescent="0.35">
      <c r="A7" s="122" t="s">
        <v>219</v>
      </c>
      <c r="B7" s="122" t="s">
        <v>220</v>
      </c>
      <c r="C7" s="122" t="s">
        <v>11</v>
      </c>
      <c r="D7" s="122" t="e">
        <f>FIGURES!AP17</f>
        <v>#REF!</v>
      </c>
      <c r="E7" s="122">
        <v>0.16150148792048974</v>
      </c>
      <c r="F7" s="122">
        <v>0.16008550383733161</v>
      </c>
      <c r="G7" s="122">
        <v>0.16198823244907534</v>
      </c>
      <c r="I7" s="131">
        <f>E7/E7</f>
        <v>1</v>
      </c>
      <c r="J7" s="131">
        <f>F7/E7</f>
        <v>0.99123237747595705</v>
      </c>
      <c r="K7" s="131">
        <f>G7/E7</f>
        <v>1.0030138702426397</v>
      </c>
      <c r="M7" s="122" t="e">
        <f>FIGURES!CS17</f>
        <v>#REF!</v>
      </c>
      <c r="N7" s="122">
        <v>0.1595312014287559</v>
      </c>
      <c r="O7" s="122">
        <v>0.15507712829099893</v>
      </c>
      <c r="P7" s="122">
        <v>0.16136201676758852</v>
      </c>
      <c r="R7" s="131">
        <f>N7/N7</f>
        <v>1</v>
      </c>
      <c r="S7" s="131">
        <f>O7/N7</f>
        <v>0.97208023823636724</v>
      </c>
      <c r="T7" s="131">
        <f>P7/N7</f>
        <v>1.0114762210930268</v>
      </c>
      <c r="W7" s="122" t="e">
        <f>FIGURES!EV17</f>
        <v>#REF!</v>
      </c>
      <c r="X7" s="122">
        <v>0.1593651172133618</v>
      </c>
      <c r="Y7" s="122">
        <v>0.15508101886292719</v>
      </c>
      <c r="Z7" s="122">
        <v>0.16218038184364741</v>
      </c>
      <c r="AB7" s="131">
        <f>X7/X7</f>
        <v>1</v>
      </c>
      <c r="AC7" s="131">
        <f>Y7/X7</f>
        <v>0.97311771593843233</v>
      </c>
      <c r="AD7" s="131">
        <f>Z7/X7</f>
        <v>1.0176655009547446</v>
      </c>
      <c r="AG7" s="122" t="s">
        <v>102</v>
      </c>
      <c r="AH7" s="122" t="s">
        <v>416</v>
      </c>
      <c r="AI7" s="122">
        <v>2023</v>
      </c>
      <c r="AJ7" s="122" t="str">
        <f t="shared" ref="AJ7:AL7" si="5">A12</f>
        <v>Road</v>
      </c>
      <c r="AK7" s="122" t="str">
        <f t="shared" si="5"/>
        <v>Liquid bulk</v>
      </c>
      <c r="AL7" s="122" t="str">
        <f t="shared" si="5"/>
        <v>Hydrogen</v>
      </c>
      <c r="AM7" s="132">
        <f t="shared" si="1"/>
        <v>1</v>
      </c>
    </row>
    <row r="8" spans="1:39" x14ac:dyDescent="0.35">
      <c r="A8" s="122" t="s">
        <v>219</v>
      </c>
      <c r="B8" s="122" t="s">
        <v>220</v>
      </c>
      <c r="C8" s="122" t="s">
        <v>86</v>
      </c>
      <c r="D8" s="122" t="e">
        <f>FIGURES!AQ17</f>
        <v>#REF!</v>
      </c>
      <c r="E8" s="122">
        <v>0.21487411418480304</v>
      </c>
      <c r="F8" s="122">
        <v>0.21421811029826285</v>
      </c>
      <c r="G8" s="122">
        <v>0.21637192652690349</v>
      </c>
      <c r="I8" s="131">
        <f t="shared" ref="I8:I21" si="6">E8/E8</f>
        <v>1</v>
      </c>
      <c r="J8" s="131">
        <f t="shared" ref="J8:J21" si="7">F8/E8</f>
        <v>0.99694703157228148</v>
      </c>
      <c r="K8" s="131">
        <f t="shared" ref="K8:K21" si="8">G8/E8</f>
        <v>1.0069706504563516</v>
      </c>
      <c r="M8" s="122" t="e">
        <f>FIGURES!CT17</f>
        <v>#REF!</v>
      </c>
      <c r="N8" s="122">
        <v>0.17604400717380625</v>
      </c>
      <c r="O8" s="122">
        <v>0.17604400717380625</v>
      </c>
      <c r="P8" s="122">
        <v>0.17604400717380625</v>
      </c>
      <c r="R8" s="131">
        <f t="shared" ref="R8:R21" si="9">N8/N8</f>
        <v>1</v>
      </c>
      <c r="S8" s="131">
        <f t="shared" ref="S8:S21" si="10">O8/N8</f>
        <v>1</v>
      </c>
      <c r="T8" s="131">
        <f t="shared" ref="T8:T21" si="11">P8/N8</f>
        <v>1</v>
      </c>
      <c r="W8" s="122" t="e">
        <f>FIGURES!EW17</f>
        <v>#REF!</v>
      </c>
      <c r="X8" s="122">
        <v>0.15970188837788224</v>
      </c>
      <c r="Y8" s="122">
        <v>0.15970188837788224</v>
      </c>
      <c r="Z8" s="122">
        <v>0.15970188837788224</v>
      </c>
      <c r="AB8" s="131">
        <f t="shared" ref="AB8:AB21" si="12">X8/X8</f>
        <v>1</v>
      </c>
      <c r="AC8" s="131">
        <f t="shared" ref="AC8:AC21" si="13">Y8/X8</f>
        <v>1</v>
      </c>
      <c r="AD8" s="131">
        <f t="shared" ref="AD8:AD21" si="14">Z8/X8</f>
        <v>1</v>
      </c>
      <c r="AG8" s="122" t="s">
        <v>419</v>
      </c>
      <c r="AH8" s="122" t="s">
        <v>416</v>
      </c>
      <c r="AI8" s="122">
        <v>2023</v>
      </c>
      <c r="AJ8" s="122" t="str">
        <f t="shared" ref="AJ8:AL8" si="15">A13</f>
        <v>Road</v>
      </c>
      <c r="AK8" s="122" t="str">
        <f t="shared" si="15"/>
        <v>Container</v>
      </c>
      <c r="AL8" s="122" t="str">
        <f t="shared" si="15"/>
        <v>Diesel</v>
      </c>
      <c r="AM8" s="132">
        <f t="shared" si="1"/>
        <v>1</v>
      </c>
    </row>
    <row r="9" spans="1:39" x14ac:dyDescent="0.35">
      <c r="A9" s="122" t="s">
        <v>219</v>
      </c>
      <c r="B9" s="122" t="s">
        <v>220</v>
      </c>
      <c r="C9" s="122" t="s">
        <v>102</v>
      </c>
      <c r="D9" s="122" t="e">
        <f>FIGURES!AR17</f>
        <v>#REF!</v>
      </c>
      <c r="E9" s="122">
        <v>0.24514866003769331</v>
      </c>
      <c r="F9" s="122">
        <v>0.24350126702679284</v>
      </c>
      <c r="G9" s="122">
        <v>0.24891004870420008</v>
      </c>
      <c r="I9" s="131">
        <f t="shared" si="6"/>
        <v>1</v>
      </c>
      <c r="J9" s="131">
        <f t="shared" si="7"/>
        <v>0.99328002441193364</v>
      </c>
      <c r="K9" s="131">
        <f t="shared" si="8"/>
        <v>1.0153432968629257</v>
      </c>
      <c r="M9" s="122" t="e">
        <f>FIGURES!CU17</f>
        <v>#REF!</v>
      </c>
      <c r="N9" s="122">
        <v>0.19457806694570512</v>
      </c>
      <c r="O9" s="122">
        <v>0.19270653480404287</v>
      </c>
      <c r="P9" s="122">
        <v>0.19725556359642915</v>
      </c>
      <c r="R9" s="131">
        <f t="shared" si="9"/>
        <v>1</v>
      </c>
      <c r="S9" s="131">
        <f t="shared" si="10"/>
        <v>0.99038158734414561</v>
      </c>
      <c r="T9" s="131">
        <f t="shared" si="11"/>
        <v>1.0137605265215794</v>
      </c>
      <c r="W9" s="122" t="e">
        <f>FIGURES!EX17</f>
        <v>#REF!</v>
      </c>
      <c r="X9" s="122">
        <v>0.16864154646639173</v>
      </c>
      <c r="Y9" s="122">
        <v>0.1667304221005671</v>
      </c>
      <c r="Z9" s="122">
        <v>0.17043322555935234</v>
      </c>
      <c r="AB9" s="131">
        <f t="shared" si="12"/>
        <v>1</v>
      </c>
      <c r="AC9" s="131">
        <f t="shared" si="13"/>
        <v>0.9886675353383011</v>
      </c>
      <c r="AD9" s="131">
        <f t="shared" si="14"/>
        <v>1.0106241856203428</v>
      </c>
      <c r="AG9" s="122" t="s">
        <v>86</v>
      </c>
      <c r="AH9" s="122" t="s">
        <v>416</v>
      </c>
      <c r="AI9" s="122">
        <v>2023</v>
      </c>
      <c r="AJ9" s="122" t="str">
        <f t="shared" ref="AJ9:AL9" si="16">A14</f>
        <v>Road</v>
      </c>
      <c r="AK9" s="122" t="str">
        <f t="shared" si="16"/>
        <v>Container</v>
      </c>
      <c r="AL9" s="122" t="str">
        <f t="shared" si="16"/>
        <v>Battery</v>
      </c>
      <c r="AM9" s="132">
        <f t="shared" si="1"/>
        <v>1</v>
      </c>
    </row>
    <row r="10" spans="1:39" x14ac:dyDescent="0.35">
      <c r="A10" s="122" t="s">
        <v>219</v>
      </c>
      <c r="B10" s="122" t="s">
        <v>221</v>
      </c>
      <c r="C10" s="122" t="s">
        <v>11</v>
      </c>
      <c r="D10" s="122" t="e">
        <f>FIGURES!AS17</f>
        <v>#REF!</v>
      </c>
      <c r="E10" s="122">
        <v>8.1266133561074191E-2</v>
      </c>
      <c r="F10" s="122">
        <v>8.0027147488310843E-2</v>
      </c>
      <c r="G10" s="122">
        <v>8.1692035023586587E-2</v>
      </c>
      <c r="I10" s="131">
        <f t="shared" si="6"/>
        <v>1</v>
      </c>
      <c r="J10" s="131">
        <f t="shared" si="7"/>
        <v>0.98475396800030846</v>
      </c>
      <c r="K10" s="131">
        <f t="shared" si="8"/>
        <v>1.005240823499894</v>
      </c>
      <c r="M10" s="122" t="e">
        <f>FIGURES!CV17</f>
        <v>#REF!</v>
      </c>
      <c r="N10" s="122">
        <v>7.8800724107898013E-2</v>
      </c>
      <c r="O10" s="122">
        <v>7.4903410112360652E-2</v>
      </c>
      <c r="P10" s="122">
        <v>8.0402687529376543E-2</v>
      </c>
      <c r="R10" s="131">
        <f t="shared" si="9"/>
        <v>1</v>
      </c>
      <c r="S10" s="131">
        <f t="shared" si="10"/>
        <v>0.95054215504160899</v>
      </c>
      <c r="T10" s="131">
        <f t="shared" si="11"/>
        <v>1.0203292982344305</v>
      </c>
      <c r="W10" s="122" t="e">
        <f>FIGURES!EY17</f>
        <v>#REF!</v>
      </c>
      <c r="X10" s="122">
        <v>7.7685173503754978E-2</v>
      </c>
      <c r="Y10" s="122">
        <v>7.393658744712471E-2</v>
      </c>
      <c r="Z10" s="122">
        <v>8.014853005525488E-2</v>
      </c>
      <c r="AB10" s="131">
        <f t="shared" si="12"/>
        <v>1</v>
      </c>
      <c r="AC10" s="131">
        <f t="shared" si="13"/>
        <v>0.95174644159803445</v>
      </c>
      <c r="AD10" s="131">
        <f t="shared" si="14"/>
        <v>1.0317094812355776</v>
      </c>
      <c r="AG10" s="122" t="s">
        <v>102</v>
      </c>
      <c r="AH10" s="122" t="s">
        <v>416</v>
      </c>
      <c r="AI10" s="122">
        <v>2023</v>
      </c>
      <c r="AJ10" s="122" t="str">
        <f t="shared" ref="AJ10:AL10" si="17">A15</f>
        <v>Road</v>
      </c>
      <c r="AK10" s="122" t="str">
        <f t="shared" si="17"/>
        <v>Container</v>
      </c>
      <c r="AL10" s="122" t="str">
        <f t="shared" si="17"/>
        <v>Hydrogen</v>
      </c>
      <c r="AM10" s="132">
        <f t="shared" si="1"/>
        <v>1</v>
      </c>
    </row>
    <row r="11" spans="1:39" x14ac:dyDescent="0.35">
      <c r="A11" s="122" t="s">
        <v>219</v>
      </c>
      <c r="B11" s="122" t="s">
        <v>221</v>
      </c>
      <c r="C11" s="122" t="s">
        <v>86</v>
      </c>
      <c r="D11" s="122" t="e">
        <f>FIGURES!AT17</f>
        <v>#REF!</v>
      </c>
      <c r="E11" s="122">
        <v>0.10398939898527251</v>
      </c>
      <c r="F11" s="122">
        <v>0.10341062536549094</v>
      </c>
      <c r="G11" s="122">
        <v>0.10531087632523629</v>
      </c>
      <c r="I11" s="131">
        <f t="shared" si="6"/>
        <v>1</v>
      </c>
      <c r="J11" s="131">
        <f t="shared" si="7"/>
        <v>0.99443430171316261</v>
      </c>
      <c r="K11" s="131">
        <f t="shared" si="8"/>
        <v>1.0127078082271725</v>
      </c>
      <c r="M11" s="122" t="e">
        <f>FIGURES!CW17</f>
        <v>#REF!</v>
      </c>
      <c r="N11" s="122">
        <v>8.5196928607980713E-2</v>
      </c>
      <c r="O11" s="122">
        <v>8.4503796562852188E-2</v>
      </c>
      <c r="P11" s="122">
        <v>8.6186731956471668E-2</v>
      </c>
      <c r="R11" s="131">
        <f t="shared" si="9"/>
        <v>1</v>
      </c>
      <c r="S11" s="131">
        <f t="shared" si="10"/>
        <v>0.99186435407410223</v>
      </c>
      <c r="T11" s="131">
        <f t="shared" si="11"/>
        <v>1.0116178290070217</v>
      </c>
      <c r="W11" s="122" t="e">
        <f>FIGURES!EZ17</f>
        <v>#REF!</v>
      </c>
      <c r="X11" s="122">
        <v>7.7653618448074446E-2</v>
      </c>
      <c r="Y11" s="122">
        <v>7.68609519943146E-2</v>
      </c>
      <c r="Z11" s="122">
        <v>7.8396743248474315E-2</v>
      </c>
      <c r="AB11" s="131">
        <f t="shared" si="12"/>
        <v>1</v>
      </c>
      <c r="AC11" s="131">
        <f t="shared" si="13"/>
        <v>0.98979227923177993</v>
      </c>
      <c r="AD11" s="131">
        <f t="shared" si="14"/>
        <v>1.0095697382202065</v>
      </c>
      <c r="AG11" s="122" t="s">
        <v>419</v>
      </c>
      <c r="AH11" s="122" t="s">
        <v>416</v>
      </c>
      <c r="AI11" s="122">
        <v>2023</v>
      </c>
      <c r="AJ11" s="122" t="str">
        <f t="shared" ref="AJ11:AL11" si="18">A16</f>
        <v>Road</v>
      </c>
      <c r="AK11" s="122" t="str">
        <f t="shared" si="18"/>
        <v>Break bulk</v>
      </c>
      <c r="AL11" s="122" t="str">
        <f t="shared" si="18"/>
        <v>Diesel</v>
      </c>
      <c r="AM11" s="132">
        <f t="shared" si="1"/>
        <v>1</v>
      </c>
    </row>
    <row r="12" spans="1:39" x14ac:dyDescent="0.35">
      <c r="A12" s="122" t="s">
        <v>219</v>
      </c>
      <c r="B12" s="122" t="s">
        <v>221</v>
      </c>
      <c r="C12" s="122" t="s">
        <v>102</v>
      </c>
      <c r="D12" s="122" t="e">
        <f>FIGURES!AU17</f>
        <v>#REF!</v>
      </c>
      <c r="E12" s="122">
        <v>0.12688035079230253</v>
      </c>
      <c r="F12" s="122">
        <v>0.12543303407206524</v>
      </c>
      <c r="G12" s="122">
        <v>0.1301849178703009</v>
      </c>
      <c r="I12" s="131">
        <f t="shared" si="6"/>
        <v>1</v>
      </c>
      <c r="J12" s="131">
        <f t="shared" si="7"/>
        <v>0.98859305864777691</v>
      </c>
      <c r="K12" s="131">
        <f t="shared" si="8"/>
        <v>1.0260447504862893</v>
      </c>
      <c r="M12" s="122" t="e">
        <f>FIGURES!CX17</f>
        <v>#REF!</v>
      </c>
      <c r="N12" s="122">
        <v>9.9869671953068617E-2</v>
      </c>
      <c r="O12" s="122">
        <v>9.8227179605328535E-2</v>
      </c>
      <c r="P12" s="122">
        <v>0.10221949414527944</v>
      </c>
      <c r="R12" s="131">
        <f t="shared" si="9"/>
        <v>1</v>
      </c>
      <c r="S12" s="131">
        <f t="shared" si="10"/>
        <v>0.98355364230582498</v>
      </c>
      <c r="T12" s="131">
        <f t="shared" si="11"/>
        <v>1.0235288866605576</v>
      </c>
      <c r="W12" s="122" t="e">
        <f>FIGURES!FA17</f>
        <v>#REF!</v>
      </c>
      <c r="X12" s="122">
        <v>8.4647164209378539E-2</v>
      </c>
      <c r="Y12" s="122">
        <v>8.2972221969222298E-2</v>
      </c>
      <c r="Z12" s="122">
        <v>8.6217422559525025E-2</v>
      </c>
      <c r="AB12" s="131">
        <f t="shared" si="12"/>
        <v>1</v>
      </c>
      <c r="AC12" s="131">
        <f t="shared" si="13"/>
        <v>0.98021265974116756</v>
      </c>
      <c r="AD12" s="131">
        <f t="shared" si="14"/>
        <v>1.0185506314926556</v>
      </c>
      <c r="AG12" s="122" t="s">
        <v>86</v>
      </c>
      <c r="AH12" s="122" t="s">
        <v>416</v>
      </c>
      <c r="AI12" s="122">
        <v>2023</v>
      </c>
      <c r="AJ12" s="122" t="str">
        <f>A17</f>
        <v>Road</v>
      </c>
      <c r="AK12" s="122" t="str">
        <f>B17</f>
        <v>Break bulk</v>
      </c>
      <c r="AL12" s="122" t="str">
        <f>C17</f>
        <v>Battery</v>
      </c>
      <c r="AM12" s="132">
        <f t="shared" si="1"/>
        <v>1</v>
      </c>
    </row>
    <row r="13" spans="1:39" x14ac:dyDescent="0.35">
      <c r="A13" s="122" t="s">
        <v>219</v>
      </c>
      <c r="B13" s="122" t="s">
        <v>222</v>
      </c>
      <c r="C13" s="122" t="s">
        <v>11</v>
      </c>
      <c r="D13" s="122" t="e">
        <f>FIGURES!AV17</f>
        <v>#REF!</v>
      </c>
      <c r="E13" s="122">
        <v>8.5592873760686805E-2</v>
      </c>
      <c r="F13" s="122">
        <v>8.4300018728238085E-2</v>
      </c>
      <c r="G13" s="122">
        <v>8.6037292678091043E-2</v>
      </c>
      <c r="I13" s="131">
        <f t="shared" si="6"/>
        <v>1</v>
      </c>
      <c r="J13" s="131">
        <f t="shared" si="7"/>
        <v>0.98489529588568936</v>
      </c>
      <c r="K13" s="131">
        <f t="shared" si="8"/>
        <v>1.0051922420392942</v>
      </c>
      <c r="M13" s="122" t="e">
        <f>FIGURES!CY17</f>
        <v>#REF!</v>
      </c>
      <c r="N13" s="122">
        <v>8.305711277962885E-2</v>
      </c>
      <c r="O13" s="122">
        <v>7.8990350349502914E-2</v>
      </c>
      <c r="P13" s="122">
        <v>8.472872678464996E-2</v>
      </c>
      <c r="R13" s="131">
        <f t="shared" si="9"/>
        <v>1</v>
      </c>
      <c r="S13" s="131">
        <f t="shared" si="10"/>
        <v>0.95103655431755652</v>
      </c>
      <c r="T13" s="131">
        <f t="shared" si="11"/>
        <v>1.0201260789001456</v>
      </c>
      <c r="W13" s="122" t="e">
        <f>FIGURES!FB17</f>
        <v>#REF!</v>
      </c>
      <c r="X13" s="122">
        <v>8.1941270008382638E-2</v>
      </c>
      <c r="Y13" s="122">
        <v>7.8029701949290181E-2</v>
      </c>
      <c r="Z13" s="122">
        <v>8.45117290186434E-2</v>
      </c>
      <c r="AB13" s="131">
        <f t="shared" si="12"/>
        <v>1</v>
      </c>
      <c r="AC13" s="131">
        <f t="shared" si="13"/>
        <v>0.95226376087785436</v>
      </c>
      <c r="AD13" s="131">
        <f t="shared" si="14"/>
        <v>1.0313695285659814</v>
      </c>
      <c r="AG13" s="122" t="s">
        <v>102</v>
      </c>
      <c r="AH13" s="122" t="s">
        <v>416</v>
      </c>
      <c r="AI13" s="122">
        <v>2023</v>
      </c>
      <c r="AJ13" s="122" t="str">
        <f t="shared" ref="AJ13:AJ16" si="19">A18</f>
        <v>Road</v>
      </c>
      <c r="AK13" s="122" t="str">
        <f t="shared" ref="AK13:AK16" si="20">B18</f>
        <v>Break bulk</v>
      </c>
      <c r="AL13" s="122" t="str">
        <f t="shared" ref="AL13:AL16" si="21">C18</f>
        <v>Hydrogen</v>
      </c>
      <c r="AM13" s="132">
        <f t="shared" si="1"/>
        <v>1</v>
      </c>
    </row>
    <row r="14" spans="1:39" x14ac:dyDescent="0.35">
      <c r="A14" s="122" t="s">
        <v>219</v>
      </c>
      <c r="B14" s="122" t="s">
        <v>222</v>
      </c>
      <c r="C14" s="122" t="s">
        <v>86</v>
      </c>
      <c r="D14" s="122" t="e">
        <f>FIGURES!AW17</f>
        <v>#REF!</v>
      </c>
      <c r="E14" s="122">
        <v>0.11005871333542969</v>
      </c>
      <c r="F14" s="122">
        <v>0.10945643485185198</v>
      </c>
      <c r="G14" s="122">
        <v>0.11143385784995678</v>
      </c>
      <c r="I14" s="131">
        <f t="shared" si="6"/>
        <v>1</v>
      </c>
      <c r="J14" s="131">
        <f t="shared" si="7"/>
        <v>0.99452766196037456</v>
      </c>
      <c r="K14" s="131">
        <f t="shared" si="8"/>
        <v>1.0124946446569481</v>
      </c>
      <c r="M14" s="122" t="e">
        <f>FIGURES!CZ17</f>
        <v>#REF!</v>
      </c>
      <c r="N14" s="122">
        <v>8.9729273933051135E-2</v>
      </c>
      <c r="O14" s="122">
        <v>8.900755390312412E-2</v>
      </c>
      <c r="P14" s="122">
        <v>9.075990136878348E-2</v>
      </c>
      <c r="R14" s="131">
        <f t="shared" si="9"/>
        <v>1</v>
      </c>
      <c r="S14" s="131">
        <f t="shared" si="10"/>
        <v>0.99195669374895978</v>
      </c>
      <c r="T14" s="131">
        <f t="shared" si="11"/>
        <v>1.0114859665141314</v>
      </c>
      <c r="W14" s="122" t="e">
        <f>FIGURES!FC17</f>
        <v>#REF!</v>
      </c>
      <c r="X14" s="122">
        <v>8.1706056355476092E-2</v>
      </c>
      <c r="Y14" s="122">
        <v>8.0880051743567882E-2</v>
      </c>
      <c r="Z14" s="122">
        <v>8.2480435679140041E-2</v>
      </c>
      <c r="AB14" s="131">
        <f t="shared" si="12"/>
        <v>1</v>
      </c>
      <c r="AC14" s="131">
        <f t="shared" si="13"/>
        <v>0.98989053383858672</v>
      </c>
      <c r="AD14" s="131">
        <f t="shared" si="14"/>
        <v>1.0094776245263251</v>
      </c>
      <c r="AG14" s="122" t="s">
        <v>419</v>
      </c>
      <c r="AH14" s="122" t="s">
        <v>416</v>
      </c>
      <c r="AI14" s="122">
        <v>2023</v>
      </c>
      <c r="AJ14" s="122" t="str">
        <f t="shared" si="19"/>
        <v>Road</v>
      </c>
      <c r="AK14" s="122" t="str">
        <f t="shared" si="20"/>
        <v>Neo bulk</v>
      </c>
      <c r="AL14" s="122" t="str">
        <f t="shared" si="21"/>
        <v>Diesel</v>
      </c>
      <c r="AM14" s="132">
        <f t="shared" si="1"/>
        <v>1</v>
      </c>
    </row>
    <row r="15" spans="1:39" x14ac:dyDescent="0.35">
      <c r="A15" s="122" t="s">
        <v>219</v>
      </c>
      <c r="B15" s="122" t="s">
        <v>222</v>
      </c>
      <c r="C15" s="122" t="s">
        <v>102</v>
      </c>
      <c r="D15" s="122" t="e">
        <f>FIGURES!AX17</f>
        <v>#REF!</v>
      </c>
      <c r="E15" s="122">
        <v>0.13432269291236781</v>
      </c>
      <c r="F15" s="122">
        <v>0.13281448340801569</v>
      </c>
      <c r="G15" s="122">
        <v>0.13776629264773832</v>
      </c>
      <c r="I15" s="131">
        <f t="shared" si="6"/>
        <v>1</v>
      </c>
      <c r="J15" s="131">
        <f t="shared" si="7"/>
        <v>0.98877174458275574</v>
      </c>
      <c r="K15" s="131">
        <f t="shared" si="8"/>
        <v>1.0256367681491996</v>
      </c>
      <c r="M15" s="122" t="e">
        <f>FIGURES!DA17</f>
        <v>#REF!</v>
      </c>
      <c r="N15" s="122">
        <v>0.10536615030719333</v>
      </c>
      <c r="O15" s="122">
        <v>0.10365395019608566</v>
      </c>
      <c r="P15" s="122">
        <v>0.10781569950851688</v>
      </c>
      <c r="R15" s="131">
        <f t="shared" si="9"/>
        <v>1</v>
      </c>
      <c r="S15" s="131">
        <f t="shared" si="10"/>
        <v>0.98374999839971577</v>
      </c>
      <c r="T15" s="131">
        <f t="shared" si="11"/>
        <v>1.0232479709487527</v>
      </c>
      <c r="W15" s="122" t="e">
        <f>FIGURES!FD17</f>
        <v>#REF!</v>
      </c>
      <c r="X15" s="122">
        <v>8.9187877646247971E-2</v>
      </c>
      <c r="Y15" s="122">
        <v>8.7441053889583953E-2</v>
      </c>
      <c r="Z15" s="122">
        <v>9.0825524918120487E-2</v>
      </c>
      <c r="AB15" s="131">
        <f t="shared" si="12"/>
        <v>1</v>
      </c>
      <c r="AC15" s="131">
        <f t="shared" si="13"/>
        <v>0.98041411229009656</v>
      </c>
      <c r="AD15" s="131">
        <f t="shared" si="14"/>
        <v>1.0183617697280345</v>
      </c>
      <c r="AG15" s="122" t="s">
        <v>86</v>
      </c>
      <c r="AH15" s="122" t="s">
        <v>416</v>
      </c>
      <c r="AI15" s="122">
        <v>2023</v>
      </c>
      <c r="AJ15" s="122" t="str">
        <f t="shared" si="19"/>
        <v>Road</v>
      </c>
      <c r="AK15" s="122" t="str">
        <f t="shared" si="20"/>
        <v>Neo bulk</v>
      </c>
      <c r="AL15" s="122" t="str">
        <f t="shared" si="21"/>
        <v>Battery</v>
      </c>
      <c r="AM15" s="132">
        <f t="shared" si="1"/>
        <v>1</v>
      </c>
    </row>
    <row r="16" spans="1:39" x14ac:dyDescent="0.35">
      <c r="A16" s="122" t="s">
        <v>219</v>
      </c>
      <c r="B16" s="122" t="s">
        <v>223</v>
      </c>
      <c r="C16" s="122" t="s">
        <v>11</v>
      </c>
      <c r="D16" s="122" t="e">
        <f>FIGURES!AY17</f>
        <v>#REF!</v>
      </c>
      <c r="E16" s="122">
        <v>0.10957668678980516</v>
      </c>
      <c r="F16" s="122">
        <v>0.10828383175735644</v>
      </c>
      <c r="G16" s="122">
        <v>0.1100211057072094</v>
      </c>
      <c r="I16" s="131">
        <f t="shared" si="6"/>
        <v>1</v>
      </c>
      <c r="J16" s="131">
        <f t="shared" si="7"/>
        <v>0.98820136773318645</v>
      </c>
      <c r="K16" s="131">
        <f t="shared" si="8"/>
        <v>1.0040557798417171</v>
      </c>
      <c r="M16" s="122" t="e">
        <f>FIGURES!DB17</f>
        <v>#REF!</v>
      </c>
      <c r="N16" s="122">
        <v>0.10732147800566266</v>
      </c>
      <c r="O16" s="122">
        <v>0.10325471557553673</v>
      </c>
      <c r="P16" s="122">
        <v>0.10899309201068375</v>
      </c>
      <c r="R16" s="131">
        <f t="shared" si="9"/>
        <v>1</v>
      </c>
      <c r="S16" s="131">
        <f t="shared" si="10"/>
        <v>0.96210672359626503</v>
      </c>
      <c r="T16" s="131">
        <f t="shared" si="11"/>
        <v>1.0155757639205536</v>
      </c>
      <c r="W16" s="122" t="e">
        <f>FIGURES!FE17</f>
        <v>#REF!</v>
      </c>
      <c r="X16" s="122">
        <v>0.10657277317861766</v>
      </c>
      <c r="Y16" s="122">
        <v>0.1026612051195252</v>
      </c>
      <c r="Z16" s="122">
        <v>0.10914323218887842</v>
      </c>
      <c r="AB16" s="131">
        <f t="shared" si="12"/>
        <v>1</v>
      </c>
      <c r="AC16" s="131">
        <f t="shared" si="13"/>
        <v>0.9632967413493444</v>
      </c>
      <c r="AD16" s="131">
        <f t="shared" si="14"/>
        <v>1.0241192842561451</v>
      </c>
      <c r="AG16" s="122" t="s">
        <v>102</v>
      </c>
      <c r="AH16" s="122" t="s">
        <v>416</v>
      </c>
      <c r="AI16" s="122">
        <v>2023</v>
      </c>
      <c r="AJ16" s="122" t="str">
        <f t="shared" si="19"/>
        <v>Road</v>
      </c>
      <c r="AK16" s="122" t="str">
        <f t="shared" si="20"/>
        <v>Neo bulk</v>
      </c>
      <c r="AL16" s="122" t="str">
        <f t="shared" si="21"/>
        <v>Hydrogen</v>
      </c>
      <c r="AM16" s="132">
        <f t="shared" si="1"/>
        <v>1</v>
      </c>
    </row>
    <row r="17" spans="1:39" x14ac:dyDescent="0.35">
      <c r="A17" s="122" t="s">
        <v>219</v>
      </c>
      <c r="B17" s="122" t="s">
        <v>223</v>
      </c>
      <c r="C17" s="122" t="s">
        <v>86</v>
      </c>
      <c r="D17" s="122" t="e">
        <f>FIGURES!AZ17</f>
        <v>#REF!</v>
      </c>
      <c r="E17" s="122">
        <v>0.14374402520069046</v>
      </c>
      <c r="F17" s="122">
        <v>0.14314174671711277</v>
      </c>
      <c r="G17" s="122">
        <v>0.14511916971521754</v>
      </c>
      <c r="I17" s="131">
        <f t="shared" si="6"/>
        <v>1</v>
      </c>
      <c r="J17" s="131">
        <f t="shared" si="7"/>
        <v>0.99581006248616732</v>
      </c>
      <c r="K17" s="131">
        <f t="shared" si="8"/>
        <v>1.0095666203350515</v>
      </c>
      <c r="M17" s="122" t="e">
        <f>FIGURES!DC17</f>
        <v>#REF!</v>
      </c>
      <c r="N17" s="122">
        <v>0.11671934623015348</v>
      </c>
      <c r="O17" s="122">
        <v>0.11599762620022647</v>
      </c>
      <c r="P17" s="122">
        <v>0.11774997366588581</v>
      </c>
      <c r="R17" s="131">
        <f t="shared" si="9"/>
        <v>1</v>
      </c>
      <c r="S17" s="131">
        <f t="shared" si="10"/>
        <v>0.9938166203526887</v>
      </c>
      <c r="T17" s="131">
        <f t="shared" si="11"/>
        <v>1.0088299623757324</v>
      </c>
      <c r="W17" s="122" t="e">
        <f>FIGURES!FF17</f>
        <v>#REF!</v>
      </c>
      <c r="X17" s="122">
        <v>0.10644312729411544</v>
      </c>
      <c r="Y17" s="122">
        <v>0.10561712268220722</v>
      </c>
      <c r="Z17" s="122">
        <v>0.10721750661777942</v>
      </c>
      <c r="AB17" s="131">
        <f t="shared" si="12"/>
        <v>1</v>
      </c>
      <c r="AC17" s="131">
        <f t="shared" si="13"/>
        <v>0.99223994415697814</v>
      </c>
      <c r="AD17" s="131">
        <f t="shared" si="14"/>
        <v>1.0072750523528331</v>
      </c>
      <c r="AG17" s="122" t="s">
        <v>419</v>
      </c>
      <c r="AH17" s="122" t="s">
        <v>417</v>
      </c>
      <c r="AI17" s="122">
        <v>2023</v>
      </c>
      <c r="AJ17" s="122" t="str">
        <f>A7</f>
        <v>Road</v>
      </c>
      <c r="AK17" s="122" t="str">
        <f>B7</f>
        <v>Dry bulk</v>
      </c>
      <c r="AL17" s="122" t="str">
        <f>C7</f>
        <v>Diesel</v>
      </c>
      <c r="AM17" s="132">
        <f>J7</f>
        <v>0.99123237747595705</v>
      </c>
    </row>
    <row r="18" spans="1:39" x14ac:dyDescent="0.35">
      <c r="A18" s="122" t="s">
        <v>219</v>
      </c>
      <c r="B18" s="122" t="s">
        <v>223</v>
      </c>
      <c r="C18" s="122" t="s">
        <v>102</v>
      </c>
      <c r="D18" s="122" t="e">
        <f>FIGURES!BA17</f>
        <v>#REF!</v>
      </c>
      <c r="E18" s="122">
        <v>0.16908564510755242</v>
      </c>
      <c r="F18" s="122">
        <v>0.16757743560320026</v>
      </c>
      <c r="G18" s="122">
        <v>0.17252924484292287</v>
      </c>
      <c r="I18" s="131">
        <f t="shared" si="6"/>
        <v>1</v>
      </c>
      <c r="J18" s="131">
        <f t="shared" si="7"/>
        <v>0.99108020374294459</v>
      </c>
      <c r="K18" s="131">
        <f t="shared" si="8"/>
        <v>1.0203660087950106</v>
      </c>
      <c r="M18" s="122" t="e">
        <f>FIGURES!DD17</f>
        <v>#REF!</v>
      </c>
      <c r="N18" s="122">
        <v>0.13347194513070246</v>
      </c>
      <c r="O18" s="122">
        <v>0.13175974501959475</v>
      </c>
      <c r="P18" s="122">
        <v>0.13592149433202599</v>
      </c>
      <c r="R18" s="131">
        <f t="shared" si="9"/>
        <v>1</v>
      </c>
      <c r="S18" s="131">
        <f t="shared" si="10"/>
        <v>0.98717183517906304</v>
      </c>
      <c r="T18" s="131">
        <f t="shared" si="11"/>
        <v>1.0183525399208411</v>
      </c>
      <c r="W18" s="122" t="e">
        <f>FIGURES!FG17</f>
        <v>#REF!</v>
      </c>
      <c r="X18" s="122">
        <v>0.11435738052980955</v>
      </c>
      <c r="Y18" s="122">
        <v>0.11261055677314552</v>
      </c>
      <c r="Z18" s="122">
        <v>0.11599502780168205</v>
      </c>
      <c r="AB18" s="131">
        <f t="shared" si="12"/>
        <v>1</v>
      </c>
      <c r="AC18" s="131">
        <f t="shared" si="13"/>
        <v>0.98472487085161342</v>
      </c>
      <c r="AD18" s="131">
        <f t="shared" si="14"/>
        <v>1.0143204335766123</v>
      </c>
      <c r="AG18" s="122" t="s">
        <v>86</v>
      </c>
      <c r="AH18" s="122" t="s">
        <v>417</v>
      </c>
      <c r="AI18" s="122">
        <v>2023</v>
      </c>
      <c r="AJ18" s="122" t="str">
        <f t="shared" ref="AJ18:AL18" si="22">A8</f>
        <v>Road</v>
      </c>
      <c r="AK18" s="122" t="str">
        <f t="shared" si="22"/>
        <v>Dry bulk</v>
      </c>
      <c r="AL18" s="122" t="str">
        <f t="shared" si="22"/>
        <v>Battery</v>
      </c>
      <c r="AM18" s="132">
        <f t="shared" ref="AM18:AM31" si="23">J8</f>
        <v>0.99694703157228148</v>
      </c>
    </row>
    <row r="19" spans="1:39" x14ac:dyDescent="0.35">
      <c r="A19" s="122" t="s">
        <v>219</v>
      </c>
      <c r="B19" s="122" t="s">
        <v>224</v>
      </c>
      <c r="C19" s="122" t="s">
        <v>11</v>
      </c>
      <c r="D19" s="122" t="e">
        <f>FIGURES!BB17</f>
        <v>#REF!</v>
      </c>
      <c r="E19" s="122">
        <v>9.2999629994423322E-2</v>
      </c>
      <c r="F19" s="122">
        <v>9.1760643921659973E-2</v>
      </c>
      <c r="G19" s="122">
        <v>9.3425531456935718E-2</v>
      </c>
      <c r="I19" s="131">
        <f t="shared" si="6"/>
        <v>1</v>
      </c>
      <c r="J19" s="131">
        <f t="shared" si="7"/>
        <v>0.98667751610584209</v>
      </c>
      <c r="K19" s="131">
        <f t="shared" si="8"/>
        <v>1.0045796038386168</v>
      </c>
      <c r="M19" s="122" t="e">
        <f>FIGURES!DE17</f>
        <v>#REF!</v>
      </c>
      <c r="N19" s="122">
        <v>9.069897804633803E-2</v>
      </c>
      <c r="O19" s="122">
        <v>8.680166405080067E-2</v>
      </c>
      <c r="P19" s="122">
        <v>9.2300941467816588E-2</v>
      </c>
      <c r="R19" s="131">
        <f t="shared" si="9"/>
        <v>1</v>
      </c>
      <c r="S19" s="131">
        <f t="shared" si="10"/>
        <v>0.95703023253970709</v>
      </c>
      <c r="T19" s="131">
        <f t="shared" si="11"/>
        <v>1.0176624197536175</v>
      </c>
      <c r="W19" s="122" t="e">
        <f>FIGURES!FH17</f>
        <v>#REF!</v>
      </c>
      <c r="X19" s="122">
        <v>8.9799033423455743E-2</v>
      </c>
      <c r="Y19" s="122">
        <v>8.6050447366825461E-2</v>
      </c>
      <c r="Z19" s="122">
        <v>9.2262389974955644E-2</v>
      </c>
      <c r="AB19" s="131">
        <f t="shared" si="12"/>
        <v>1</v>
      </c>
      <c r="AC19" s="131">
        <f t="shared" si="13"/>
        <v>0.95825583067299314</v>
      </c>
      <c r="AD19" s="131">
        <f t="shared" si="14"/>
        <v>1.0274318827006046</v>
      </c>
      <c r="AG19" s="122" t="s">
        <v>102</v>
      </c>
      <c r="AH19" s="122" t="s">
        <v>417</v>
      </c>
      <c r="AI19" s="122">
        <v>2023</v>
      </c>
      <c r="AJ19" s="122" t="str">
        <f t="shared" ref="AJ19:AL19" si="24">A9</f>
        <v>Road</v>
      </c>
      <c r="AK19" s="122" t="str">
        <f t="shared" si="24"/>
        <v>Dry bulk</v>
      </c>
      <c r="AL19" s="122" t="str">
        <f t="shared" si="24"/>
        <v>Hydrogen</v>
      </c>
      <c r="AM19" s="132">
        <f t="shared" si="23"/>
        <v>0.99328002441193364</v>
      </c>
    </row>
    <row r="20" spans="1:39" x14ac:dyDescent="0.35">
      <c r="A20" s="122" t="s">
        <v>219</v>
      </c>
      <c r="B20" s="122" t="s">
        <v>224</v>
      </c>
      <c r="C20" s="122" t="s">
        <v>86</v>
      </c>
      <c r="D20" s="122" t="e">
        <f>FIGURES!BC17</f>
        <v>#REF!</v>
      </c>
      <c r="E20" s="122">
        <v>0.12125411664778149</v>
      </c>
      <c r="F20" s="122">
        <v>0.1206753430279999</v>
      </c>
      <c r="G20" s="122">
        <v>0.12257559398774524</v>
      </c>
      <c r="I20" s="131">
        <f t="shared" si="6"/>
        <v>1</v>
      </c>
      <c r="J20" s="131">
        <f t="shared" si="7"/>
        <v>0.99522677138077864</v>
      </c>
      <c r="K20" s="131">
        <f t="shared" si="8"/>
        <v>1.0108984121652742</v>
      </c>
      <c r="M20" s="122" t="e">
        <f>FIGURES!DF17</f>
        <v>#REF!</v>
      </c>
      <c r="N20" s="122">
        <v>9.8560662971452551E-2</v>
      </c>
      <c r="O20" s="122">
        <v>9.7867530926324026E-2</v>
      </c>
      <c r="P20" s="122">
        <v>9.9550466319943506E-2</v>
      </c>
      <c r="R20" s="131">
        <f t="shared" si="9"/>
        <v>1</v>
      </c>
      <c r="S20" s="131">
        <f t="shared" si="10"/>
        <v>0.99296745756134686</v>
      </c>
      <c r="T20" s="131">
        <f t="shared" si="11"/>
        <v>1.0100425800583104</v>
      </c>
      <c r="W20" s="122" t="e">
        <f>FIGURES!FI17</f>
        <v>#REF!</v>
      </c>
      <c r="X20" s="122">
        <v>8.9743777277312642E-2</v>
      </c>
      <c r="Y20" s="122">
        <v>8.8951110823552781E-2</v>
      </c>
      <c r="Z20" s="122">
        <v>9.0486902077712511E-2</v>
      </c>
      <c r="AB20" s="131">
        <f t="shared" si="12"/>
        <v>1</v>
      </c>
      <c r="AC20" s="131">
        <f t="shared" si="13"/>
        <v>0.99116744940085943</v>
      </c>
      <c r="AD20" s="131">
        <f t="shared" si="14"/>
        <v>1.0082805161866941</v>
      </c>
      <c r="AG20" s="122" t="s">
        <v>419</v>
      </c>
      <c r="AH20" s="122" t="s">
        <v>417</v>
      </c>
      <c r="AI20" s="122">
        <v>2023</v>
      </c>
      <c r="AJ20" s="122" t="str">
        <f t="shared" ref="AJ20:AL20" si="25">A10</f>
        <v>Road</v>
      </c>
      <c r="AK20" s="122" t="str">
        <f t="shared" si="25"/>
        <v>Liquid bulk</v>
      </c>
      <c r="AL20" s="122" t="str">
        <f t="shared" si="25"/>
        <v>Diesel</v>
      </c>
      <c r="AM20" s="132">
        <f t="shared" si="23"/>
        <v>0.98475396800030846</v>
      </c>
    </row>
    <row r="21" spans="1:39" x14ac:dyDescent="0.35">
      <c r="A21" s="122" t="s">
        <v>219</v>
      </c>
      <c r="B21" s="122" t="s">
        <v>224</v>
      </c>
      <c r="C21" s="122" t="s">
        <v>102</v>
      </c>
      <c r="D21" s="122" t="e">
        <f>FIGURES!BD17</f>
        <v>#REF!</v>
      </c>
      <c r="E21" s="122">
        <v>0.14486718387877273</v>
      </c>
      <c r="F21" s="122">
        <v>0.14341986715853552</v>
      </c>
      <c r="G21" s="122">
        <v>0.14817175095677115</v>
      </c>
      <c r="I21" s="131">
        <f t="shared" si="6"/>
        <v>1</v>
      </c>
      <c r="J21" s="131">
        <f t="shared" si="7"/>
        <v>0.99000935421338521</v>
      </c>
      <c r="K21" s="131">
        <f t="shared" si="8"/>
        <v>1.0228110120561447</v>
      </c>
      <c r="M21" s="122" t="e">
        <f>FIGURES!DG17</f>
        <v>#REF!</v>
      </c>
      <c r="N21" s="122">
        <v>0.11396386749411043</v>
      </c>
      <c r="O21" s="122">
        <v>0.11232137514637038</v>
      </c>
      <c r="P21" s="122">
        <v>0.11631368968632125</v>
      </c>
      <c r="R21" s="131">
        <f t="shared" si="9"/>
        <v>1</v>
      </c>
      <c r="S21" s="131">
        <f t="shared" si="10"/>
        <v>0.98558760435341541</v>
      </c>
      <c r="T21" s="131">
        <f t="shared" si="11"/>
        <v>1.0206190106029198</v>
      </c>
      <c r="W21" s="122" t="e">
        <f>FIGURES!FJ17</f>
        <v>#REF!</v>
      </c>
      <c r="X21" s="122">
        <v>9.7043996882390932E-2</v>
      </c>
      <c r="Y21" s="122">
        <v>9.5369054642234719E-2</v>
      </c>
      <c r="Z21" s="122">
        <v>9.8614255232537446E-2</v>
      </c>
      <c r="AB21" s="131">
        <f t="shared" si="12"/>
        <v>1</v>
      </c>
      <c r="AC21" s="131">
        <f t="shared" si="13"/>
        <v>0.98274038277518494</v>
      </c>
      <c r="AD21" s="131">
        <f t="shared" si="14"/>
        <v>1.0161808911482648</v>
      </c>
      <c r="AG21" s="122" t="s">
        <v>86</v>
      </c>
      <c r="AH21" s="122" t="s">
        <v>417</v>
      </c>
      <c r="AI21" s="122">
        <v>2023</v>
      </c>
      <c r="AJ21" s="122" t="str">
        <f t="shared" ref="AJ21:AL21" si="26">A11</f>
        <v>Road</v>
      </c>
      <c r="AK21" s="122" t="str">
        <f t="shared" si="26"/>
        <v>Liquid bulk</v>
      </c>
      <c r="AL21" s="122" t="str">
        <f t="shared" si="26"/>
        <v>Battery</v>
      </c>
      <c r="AM21" s="132">
        <f t="shared" si="23"/>
        <v>0.99443430171316261</v>
      </c>
    </row>
    <row r="22" spans="1:39" x14ac:dyDescent="0.35">
      <c r="R22" s="131"/>
      <c r="S22" s="131"/>
      <c r="T22" s="131"/>
      <c r="AG22" s="122" t="s">
        <v>102</v>
      </c>
      <c r="AH22" s="122" t="s">
        <v>417</v>
      </c>
      <c r="AI22" s="122">
        <v>2023</v>
      </c>
      <c r="AJ22" s="122" t="str">
        <f t="shared" ref="AJ22:AL22" si="27">A12</f>
        <v>Road</v>
      </c>
      <c r="AK22" s="122" t="str">
        <f t="shared" si="27"/>
        <v>Liquid bulk</v>
      </c>
      <c r="AL22" s="122" t="str">
        <f t="shared" si="27"/>
        <v>Hydrogen</v>
      </c>
      <c r="AM22" s="132">
        <f t="shared" si="23"/>
        <v>0.98859305864777691</v>
      </c>
    </row>
    <row r="23" spans="1:39" x14ac:dyDescent="0.35">
      <c r="A23" s="122" t="s">
        <v>225</v>
      </c>
      <c r="I23" s="147" t="s">
        <v>410</v>
      </c>
      <c r="J23" s="147"/>
      <c r="K23" s="147"/>
      <c r="R23" s="147" t="s">
        <v>410</v>
      </c>
      <c r="S23" s="147"/>
      <c r="T23" s="147"/>
      <c r="AB23" s="147" t="s">
        <v>410</v>
      </c>
      <c r="AC23" s="147"/>
      <c r="AD23" s="147"/>
      <c r="AG23" s="122" t="s">
        <v>419</v>
      </c>
      <c r="AH23" s="122" t="s">
        <v>417</v>
      </c>
      <c r="AI23" s="122">
        <v>2023</v>
      </c>
      <c r="AJ23" s="122" t="str">
        <f t="shared" ref="AJ23:AL23" si="28">A13</f>
        <v>Road</v>
      </c>
      <c r="AK23" s="122" t="str">
        <f t="shared" si="28"/>
        <v>Container</v>
      </c>
      <c r="AL23" s="122" t="str">
        <f t="shared" si="28"/>
        <v>Diesel</v>
      </c>
      <c r="AM23" s="132">
        <f t="shared" si="23"/>
        <v>0.98489529588568936</v>
      </c>
    </row>
    <row r="24" spans="1:39" x14ac:dyDescent="0.35">
      <c r="D24" s="129" t="s">
        <v>409</v>
      </c>
      <c r="E24" s="122" t="s">
        <v>416</v>
      </c>
      <c r="F24" s="122" t="s">
        <v>417</v>
      </c>
      <c r="G24" s="122" t="s">
        <v>418</v>
      </c>
      <c r="I24" s="122" t="s">
        <v>406</v>
      </c>
      <c r="J24" s="122" t="s">
        <v>321</v>
      </c>
      <c r="K24" s="122" t="s">
        <v>322</v>
      </c>
      <c r="M24" s="129" t="s">
        <v>409</v>
      </c>
      <c r="N24" s="122" t="s">
        <v>416</v>
      </c>
      <c r="O24" s="122" t="s">
        <v>417</v>
      </c>
      <c r="P24" s="122" t="s">
        <v>418</v>
      </c>
      <c r="R24" s="122" t="s">
        <v>416</v>
      </c>
      <c r="S24" s="122" t="s">
        <v>417</v>
      </c>
      <c r="T24" s="122" t="s">
        <v>418</v>
      </c>
      <c r="W24" s="129" t="s">
        <v>409</v>
      </c>
      <c r="X24" s="122" t="s">
        <v>416</v>
      </c>
      <c r="Y24" s="122" t="s">
        <v>417</v>
      </c>
      <c r="Z24" s="122" t="s">
        <v>418</v>
      </c>
      <c r="AB24" s="122" t="s">
        <v>416</v>
      </c>
      <c r="AC24" s="122" t="s">
        <v>417</v>
      </c>
      <c r="AD24" s="122" t="s">
        <v>418</v>
      </c>
      <c r="AG24" s="122" t="s">
        <v>86</v>
      </c>
      <c r="AH24" s="122" t="s">
        <v>417</v>
      </c>
      <c r="AI24" s="122">
        <v>2023</v>
      </c>
      <c r="AJ24" s="122" t="str">
        <f t="shared" ref="AJ24:AL24" si="29">A14</f>
        <v>Road</v>
      </c>
      <c r="AK24" s="122" t="str">
        <f t="shared" si="29"/>
        <v>Container</v>
      </c>
      <c r="AL24" s="122" t="str">
        <f t="shared" si="29"/>
        <v>Battery</v>
      </c>
      <c r="AM24" s="132">
        <f t="shared" si="23"/>
        <v>0.99452766196037456</v>
      </c>
    </row>
    <row r="25" spans="1:39" x14ac:dyDescent="0.35">
      <c r="A25" s="122" t="s">
        <v>225</v>
      </c>
      <c r="B25" s="122" t="s">
        <v>220</v>
      </c>
      <c r="C25" s="122" t="s">
        <v>11</v>
      </c>
      <c r="D25" s="122" t="e">
        <f>FIGURES!V17</f>
        <v>#REF!</v>
      </c>
      <c r="E25" s="122">
        <v>1.504014858290743E-2</v>
      </c>
      <c r="F25" s="122">
        <v>1.4673217391859582E-2</v>
      </c>
      <c r="G25" s="122">
        <v>1.5166281179830127E-2</v>
      </c>
      <c r="I25" s="131">
        <f>E25/E25</f>
        <v>1</v>
      </c>
      <c r="J25" s="131">
        <f>F25/E25</f>
        <v>0.97560322033887004</v>
      </c>
      <c r="K25" s="131">
        <f>G25/E25</f>
        <v>1.0083863930085133</v>
      </c>
      <c r="M25" s="122" t="e">
        <f>FIGURES!BY17</f>
        <v>#REF!</v>
      </c>
      <c r="N25" s="122">
        <v>1.4341852600912312E-2</v>
      </c>
      <c r="O25" s="122">
        <v>1.3095815431312328E-2</v>
      </c>
      <c r="P25" s="122">
        <v>1.4854027388416598E-2</v>
      </c>
      <c r="R25" s="131">
        <f>N25/N25</f>
        <v>1</v>
      </c>
      <c r="S25" s="131">
        <f>O25/N25</f>
        <v>0.91311881356800995</v>
      </c>
      <c r="T25" s="131">
        <f>P25/N25</f>
        <v>1.0357118987174436</v>
      </c>
      <c r="W25" s="122" t="e">
        <f>FIGURES!EB17</f>
        <v>#REF!</v>
      </c>
      <c r="X25" s="122">
        <v>1.3980316656105102E-2</v>
      </c>
      <c r="Y25" s="122">
        <v>1.2642546688743159E-2</v>
      </c>
      <c r="Z25" s="122">
        <v>1.4859422634657239E-2</v>
      </c>
      <c r="AB25" s="131">
        <f>X25/X25</f>
        <v>1</v>
      </c>
      <c r="AC25" s="131">
        <f>Y25/X25</f>
        <v>0.90431046733281617</v>
      </c>
      <c r="AD25" s="131">
        <f>Z25/X25</f>
        <v>1.0628816928955782</v>
      </c>
      <c r="AG25" s="122" t="s">
        <v>102</v>
      </c>
      <c r="AH25" s="122" t="s">
        <v>417</v>
      </c>
      <c r="AI25" s="122">
        <v>2023</v>
      </c>
      <c r="AJ25" s="122" t="str">
        <f t="shared" ref="AJ25:AL25" si="30">A15</f>
        <v>Road</v>
      </c>
      <c r="AK25" s="122" t="str">
        <f t="shared" si="30"/>
        <v>Container</v>
      </c>
      <c r="AL25" s="122" t="str">
        <f t="shared" si="30"/>
        <v>Hydrogen</v>
      </c>
      <c r="AM25" s="132">
        <f t="shared" si="23"/>
        <v>0.98877174458275574</v>
      </c>
    </row>
    <row r="26" spans="1:39" x14ac:dyDescent="0.35">
      <c r="A26" s="122" t="s">
        <v>225</v>
      </c>
      <c r="B26" s="122" t="s">
        <v>220</v>
      </c>
      <c r="C26" s="122" t="s">
        <v>135</v>
      </c>
      <c r="D26" s="122" t="e">
        <f>FIGURES!W17</f>
        <v>#REF!</v>
      </c>
      <c r="E26" s="122">
        <v>1.222552871882062E-2</v>
      </c>
      <c r="F26" s="122">
        <v>1.2098359950900243E-2</v>
      </c>
      <c r="G26" s="122">
        <v>1.2515885154245758E-2</v>
      </c>
      <c r="I26" s="131">
        <f t="shared" ref="I26:I39" si="31">E26/E26</f>
        <v>1</v>
      </c>
      <c r="J26" s="131">
        <f t="shared" ref="J26:J39" si="32">F26/E26</f>
        <v>0.98959809666762255</v>
      </c>
      <c r="K26" s="131">
        <f t="shared" ref="K26:K39" si="33">G26/E26</f>
        <v>1.0237500104987809</v>
      </c>
      <c r="M26" s="122" t="e">
        <f>FIGURES!BZ17</f>
        <v>#REF!</v>
      </c>
      <c r="N26" s="122">
        <v>1.2407828455492606E-2</v>
      </c>
      <c r="O26" s="122">
        <v>1.2218913002570428E-2</v>
      </c>
      <c r="P26" s="122">
        <v>1.2677602662583812E-2</v>
      </c>
      <c r="R26" s="131">
        <f t="shared" ref="R26:R39" si="34">N26/N26</f>
        <v>1</v>
      </c>
      <c r="S26" s="131">
        <f t="shared" ref="S26:S39" si="35">O26/N26</f>
        <v>0.98477449510203774</v>
      </c>
      <c r="T26" s="131">
        <f t="shared" ref="T26:T39" si="36">P26/N26</f>
        <v>1.0217422579671291</v>
      </c>
      <c r="W26" s="122" t="e">
        <f>FIGURES!EC17</f>
        <v>#REF!</v>
      </c>
      <c r="X26" s="122">
        <v>1.2166722352152239E-2</v>
      </c>
      <c r="Y26" s="122">
        <v>1.1931496885478711E-2</v>
      </c>
      <c r="Z26" s="122">
        <v>1.2387246227158675E-2</v>
      </c>
      <c r="AB26" s="131">
        <f t="shared" ref="AB26:AB39" si="37">X26/X26</f>
        <v>1</v>
      </c>
      <c r="AC26" s="131">
        <f t="shared" ref="AC26:AC39" si="38">Y26/X26</f>
        <v>0.98066648848677651</v>
      </c>
      <c r="AD26" s="131">
        <f t="shared" ref="AD26:AD39" si="39">Z26/X26</f>
        <v>1.0181251670436473</v>
      </c>
      <c r="AG26" s="122" t="s">
        <v>419</v>
      </c>
      <c r="AH26" s="122" t="s">
        <v>417</v>
      </c>
      <c r="AI26" s="122">
        <v>2023</v>
      </c>
      <c r="AJ26" s="122" t="str">
        <f t="shared" ref="AJ26:AL26" si="40">A16</f>
        <v>Road</v>
      </c>
      <c r="AK26" s="122" t="str">
        <f t="shared" si="40"/>
        <v>Break bulk</v>
      </c>
      <c r="AL26" s="122" t="str">
        <f t="shared" si="40"/>
        <v>Diesel</v>
      </c>
      <c r="AM26" s="132">
        <f t="shared" si="23"/>
        <v>0.98820136773318645</v>
      </c>
    </row>
    <row r="27" spans="1:39" x14ac:dyDescent="0.35">
      <c r="A27" s="122" t="s">
        <v>225</v>
      </c>
      <c r="B27" s="122" t="s">
        <v>220</v>
      </c>
      <c r="C27" s="122" t="s">
        <v>86</v>
      </c>
      <c r="D27" s="122" t="e">
        <f>FIGURES!X17</f>
        <v>#REF!</v>
      </c>
      <c r="E27" s="122">
        <v>1.7015042906868429E-2</v>
      </c>
      <c r="F27" s="122">
        <v>1.6876745241349807E-2</v>
      </c>
      <c r="G27" s="122">
        <v>1.733080925299478E-2</v>
      </c>
      <c r="I27" s="131">
        <f t="shared" si="31"/>
        <v>1</v>
      </c>
      <c r="J27" s="131">
        <f t="shared" si="32"/>
        <v>0.99187203545265257</v>
      </c>
      <c r="K27" s="131">
        <f t="shared" si="33"/>
        <v>1.0185580693422105</v>
      </c>
      <c r="M27" s="122" t="e">
        <f>FIGURES!CA17</f>
        <v>#REF!</v>
      </c>
      <c r="N27" s="122">
        <v>1.5678518738614936E-2</v>
      </c>
      <c r="O27" s="122">
        <v>1.5474114142511137E-2</v>
      </c>
      <c r="P27" s="122">
        <v>1.5970411683245658E-2</v>
      </c>
      <c r="R27" s="131">
        <f t="shared" si="34"/>
        <v>1</v>
      </c>
      <c r="S27" s="131">
        <f t="shared" si="35"/>
        <v>0.98696276099091129</v>
      </c>
      <c r="T27" s="131">
        <f t="shared" si="36"/>
        <v>1.0186173802192049</v>
      </c>
      <c r="W27" s="122" t="e">
        <f>FIGURES!ED17</f>
        <v>#REF!</v>
      </c>
      <c r="X27" s="122">
        <v>1.3434877631593524E-2</v>
      </c>
      <c r="Y27" s="122">
        <v>1.3182035740478514E-2</v>
      </c>
      <c r="Z27" s="122">
        <v>1.3671916904513842E-2</v>
      </c>
      <c r="AB27" s="131">
        <f t="shared" si="37"/>
        <v>1</v>
      </c>
      <c r="AC27" s="131">
        <f t="shared" si="38"/>
        <v>0.98118018652284367</v>
      </c>
      <c r="AD27" s="131">
        <f t="shared" si="39"/>
        <v>1.0176435751348338</v>
      </c>
      <c r="AG27" s="122" t="s">
        <v>86</v>
      </c>
      <c r="AH27" s="122" t="s">
        <v>417</v>
      </c>
      <c r="AI27" s="122">
        <v>2023</v>
      </c>
      <c r="AJ27" s="122" t="str">
        <f t="shared" ref="AJ27:AL27" si="41">A17</f>
        <v>Road</v>
      </c>
      <c r="AK27" s="122" t="str">
        <f t="shared" si="41"/>
        <v>Break bulk</v>
      </c>
      <c r="AL27" s="122" t="str">
        <f t="shared" si="41"/>
        <v>Battery</v>
      </c>
      <c r="AM27" s="132">
        <f t="shared" si="23"/>
        <v>0.99581006248616732</v>
      </c>
    </row>
    <row r="28" spans="1:39" x14ac:dyDescent="0.35">
      <c r="A28" s="122" t="s">
        <v>225</v>
      </c>
      <c r="B28" s="122" t="s">
        <v>220</v>
      </c>
      <c r="C28" s="122" t="s">
        <v>102</v>
      </c>
      <c r="D28" s="122" t="e">
        <f>FIGURES!Y17</f>
        <v>#REF!</v>
      </c>
      <c r="E28" s="122">
        <v>2.133769640797668E-2</v>
      </c>
      <c r="F28" s="122">
        <v>2.1029498679895606E-2</v>
      </c>
      <c r="G28" s="122">
        <v>2.2041384862265825E-2</v>
      </c>
      <c r="I28" s="131">
        <f t="shared" si="31"/>
        <v>1</v>
      </c>
      <c r="J28" s="131">
        <f t="shared" si="32"/>
        <v>0.98555618553248037</v>
      </c>
      <c r="K28" s="131">
        <f t="shared" si="33"/>
        <v>1.0329786515298851</v>
      </c>
      <c r="M28" s="122" t="e">
        <f>FIGURES!CB17</f>
        <v>#REF!</v>
      </c>
      <c r="N28" s="122">
        <v>1.7772633240648497E-2</v>
      </c>
      <c r="O28" s="122">
        <v>1.736035287116159E-2</v>
      </c>
      <c r="P28" s="122">
        <v>1.8362459770413571E-2</v>
      </c>
      <c r="R28" s="131">
        <f t="shared" si="34"/>
        <v>1</v>
      </c>
      <c r="S28" s="131">
        <f t="shared" si="35"/>
        <v>0.97680251632358206</v>
      </c>
      <c r="T28" s="131">
        <f t="shared" si="36"/>
        <v>1.0331873460605747</v>
      </c>
      <c r="W28" s="122" t="e">
        <f>FIGURES!EE17</f>
        <v>#REF!</v>
      </c>
      <c r="X28" s="122">
        <v>1.2975657245638596E-2</v>
      </c>
      <c r="Y28" s="122">
        <v>1.2544482963784907E-2</v>
      </c>
      <c r="Z28" s="122">
        <v>1.3379883134876433E-2</v>
      </c>
      <c r="AB28" s="131">
        <f t="shared" si="37"/>
        <v>1</v>
      </c>
      <c r="AC28" s="131">
        <f t="shared" si="38"/>
        <v>0.9667705247070536</v>
      </c>
      <c r="AD28" s="131">
        <f t="shared" si="39"/>
        <v>1.0311526330871377</v>
      </c>
      <c r="AG28" s="122" t="s">
        <v>102</v>
      </c>
      <c r="AH28" s="122" t="s">
        <v>417</v>
      </c>
      <c r="AI28" s="122">
        <v>2023</v>
      </c>
      <c r="AJ28" s="122" t="str">
        <f t="shared" ref="AJ28:AL28" si="42">A18</f>
        <v>Road</v>
      </c>
      <c r="AK28" s="122" t="str">
        <f t="shared" si="42"/>
        <v>Break bulk</v>
      </c>
      <c r="AL28" s="122" t="str">
        <f t="shared" si="42"/>
        <v>Hydrogen</v>
      </c>
      <c r="AM28" s="132">
        <f t="shared" si="23"/>
        <v>0.99108020374294459</v>
      </c>
    </row>
    <row r="29" spans="1:39" x14ac:dyDescent="0.35">
      <c r="A29" s="122" t="s">
        <v>225</v>
      </c>
      <c r="B29" s="122" t="s">
        <v>221</v>
      </c>
      <c r="C29" s="122" t="s">
        <v>11</v>
      </c>
      <c r="D29" s="122" t="e">
        <f>FIGURES!Z17</f>
        <v>#REF!</v>
      </c>
      <c r="E29" s="122">
        <v>2.2729999851833028E-2</v>
      </c>
      <c r="F29" s="122">
        <v>2.2179603065261261E-2</v>
      </c>
      <c r="G29" s="122">
        <v>2.2919198747217075E-2</v>
      </c>
      <c r="I29" s="131">
        <f t="shared" si="31"/>
        <v>1</v>
      </c>
      <c r="J29" s="131">
        <f t="shared" si="32"/>
        <v>0.97578544697934166</v>
      </c>
      <c r="K29" s="131">
        <f t="shared" si="33"/>
        <v>1.0083237526008513</v>
      </c>
      <c r="M29" s="122" t="e">
        <f>FIGURES!CC17</f>
        <v>#REF!</v>
      </c>
      <c r="N29" s="122">
        <v>2.168255587884035E-2</v>
      </c>
      <c r="O29" s="122">
        <v>1.9813500124440376E-2</v>
      </c>
      <c r="P29" s="122">
        <v>2.2450818060096783E-2</v>
      </c>
      <c r="R29" s="131">
        <f t="shared" si="34"/>
        <v>1</v>
      </c>
      <c r="S29" s="131">
        <f t="shared" si="35"/>
        <v>0.91379910353539295</v>
      </c>
      <c r="T29" s="131">
        <f t="shared" si="36"/>
        <v>1.0354322703259429</v>
      </c>
      <c r="W29" s="122" t="e">
        <f>FIGURES!EF17</f>
        <v>#REF!</v>
      </c>
      <c r="X29" s="122">
        <v>2.1140251961629539E-2</v>
      </c>
      <c r="Y29" s="122">
        <v>1.9133597010586624E-2</v>
      </c>
      <c r="Z29" s="122">
        <v>2.2458910929457742E-2</v>
      </c>
      <c r="AB29" s="131">
        <f t="shared" si="37"/>
        <v>1</v>
      </c>
      <c r="AC29" s="131">
        <f t="shared" si="38"/>
        <v>0.90507894822232582</v>
      </c>
      <c r="AD29" s="131">
        <f t="shared" si="39"/>
        <v>1.062376691168186</v>
      </c>
      <c r="AG29" s="122" t="s">
        <v>419</v>
      </c>
      <c r="AH29" s="122" t="s">
        <v>417</v>
      </c>
      <c r="AI29" s="122">
        <v>2023</v>
      </c>
      <c r="AJ29" s="122" t="str">
        <f t="shared" ref="AJ29:AL29" si="43">A19</f>
        <v>Road</v>
      </c>
      <c r="AK29" s="122" t="str">
        <f t="shared" si="43"/>
        <v>Neo bulk</v>
      </c>
      <c r="AL29" s="122" t="str">
        <f t="shared" si="43"/>
        <v>Diesel</v>
      </c>
      <c r="AM29" s="132">
        <f t="shared" si="23"/>
        <v>0.98667751610584209</v>
      </c>
    </row>
    <row r="30" spans="1:39" x14ac:dyDescent="0.35">
      <c r="A30" s="122" t="s">
        <v>225</v>
      </c>
      <c r="B30" s="122" t="s">
        <v>221</v>
      </c>
      <c r="C30" s="122" t="s">
        <v>135</v>
      </c>
      <c r="D30" s="122" t="e">
        <f>FIGURES!AA17</f>
        <v>#REF!</v>
      </c>
      <c r="E30" s="122">
        <v>1.8508070055702812E-2</v>
      </c>
      <c r="F30" s="122">
        <v>1.831731690382225E-2</v>
      </c>
      <c r="G30" s="122">
        <v>1.8943604708840517E-2</v>
      </c>
      <c r="I30" s="131">
        <f t="shared" si="31"/>
        <v>1</v>
      </c>
      <c r="J30" s="131">
        <f t="shared" si="32"/>
        <v>0.98969351470431755</v>
      </c>
      <c r="K30" s="131">
        <f t="shared" si="33"/>
        <v>1.0235321485074833</v>
      </c>
      <c r="M30" s="122" t="e">
        <f>FIGURES!CD17</f>
        <v>#REF!</v>
      </c>
      <c r="N30" s="122">
        <v>1.8781519660710795E-2</v>
      </c>
      <c r="O30" s="122">
        <v>1.8498146481327523E-2</v>
      </c>
      <c r="P30" s="122">
        <v>1.9186180971347597E-2</v>
      </c>
      <c r="R30" s="131">
        <f t="shared" si="34"/>
        <v>1</v>
      </c>
      <c r="S30" s="131">
        <f t="shared" si="35"/>
        <v>0.98491212721321675</v>
      </c>
      <c r="T30" s="131">
        <f t="shared" si="36"/>
        <v>1.0215457171702307</v>
      </c>
      <c r="W30" s="122" t="e">
        <f>FIGURES!EG17</f>
        <v>#REF!</v>
      </c>
      <c r="X30" s="122">
        <v>1.8419860505700242E-2</v>
      </c>
      <c r="Y30" s="122">
        <v>1.8067022305689948E-2</v>
      </c>
      <c r="Z30" s="122">
        <v>1.8750646318209892E-2</v>
      </c>
      <c r="AB30" s="131">
        <f t="shared" si="37"/>
        <v>1</v>
      </c>
      <c r="AC30" s="131">
        <f t="shared" si="38"/>
        <v>0.98084468664129654</v>
      </c>
      <c r="AD30" s="131">
        <f t="shared" si="39"/>
        <v>1.0179581062737844</v>
      </c>
      <c r="AG30" s="122" t="s">
        <v>86</v>
      </c>
      <c r="AH30" s="122" t="s">
        <v>417</v>
      </c>
      <c r="AI30" s="122">
        <v>2023</v>
      </c>
      <c r="AJ30" s="122" t="str">
        <f t="shared" ref="AJ30:AL30" si="44">A20</f>
        <v>Road</v>
      </c>
      <c r="AK30" s="122" t="str">
        <f t="shared" si="44"/>
        <v>Neo bulk</v>
      </c>
      <c r="AL30" s="122" t="str">
        <f t="shared" si="44"/>
        <v>Battery</v>
      </c>
      <c r="AM30" s="132">
        <f t="shared" si="23"/>
        <v>0.99522677138077864</v>
      </c>
    </row>
    <row r="31" spans="1:39" x14ac:dyDescent="0.35">
      <c r="A31" s="122" t="s">
        <v>225</v>
      </c>
      <c r="B31" s="122" t="s">
        <v>221</v>
      </c>
      <c r="C31" s="122" t="s">
        <v>86</v>
      </c>
      <c r="D31" s="122" t="e">
        <f>FIGURES!AB17</f>
        <v>#REF!</v>
      </c>
      <c r="E31" s="122">
        <v>2.5498255477549962E-2</v>
      </c>
      <c r="F31" s="122">
        <v>2.5292399404073643E-2</v>
      </c>
      <c r="G31" s="122">
        <v>2.5968273679995914E-2</v>
      </c>
      <c r="I31" s="131">
        <f t="shared" si="31"/>
        <v>1</v>
      </c>
      <c r="J31" s="131">
        <f t="shared" si="32"/>
        <v>0.99192666048633926</v>
      </c>
      <c r="K31" s="131">
        <f t="shared" si="33"/>
        <v>1.0184333474444862</v>
      </c>
      <c r="M31" s="122" t="e">
        <f>FIGURES!CE17</f>
        <v>#REF!</v>
      </c>
      <c r="N31" s="122">
        <v>2.3547580340845191E-2</v>
      </c>
      <c r="O31" s="122">
        <v>2.3242814410376483E-2</v>
      </c>
      <c r="P31" s="122">
        <v>2.3982790832993116E-2</v>
      </c>
      <c r="R31" s="131">
        <f t="shared" si="34"/>
        <v>1</v>
      </c>
      <c r="S31" s="131">
        <f t="shared" si="35"/>
        <v>0.98705744173892607</v>
      </c>
      <c r="T31" s="131">
        <f t="shared" si="36"/>
        <v>1.0184821746374093</v>
      </c>
      <c r="W31" s="122" t="e">
        <f>FIGURES!EH17</f>
        <v>#REF!</v>
      </c>
      <c r="X31" s="122">
        <v>2.0245434172372331E-2</v>
      </c>
      <c r="Y31" s="122">
        <v>1.9867628752087009E-2</v>
      </c>
      <c r="Z31" s="122">
        <v>2.0599626753889825E-2</v>
      </c>
      <c r="AB31" s="131">
        <f t="shared" si="37"/>
        <v>1</v>
      </c>
      <c r="AC31" s="131">
        <f t="shared" si="38"/>
        <v>0.98133873459721155</v>
      </c>
      <c r="AD31" s="131">
        <f t="shared" si="39"/>
        <v>1.0174949363151145</v>
      </c>
      <c r="AG31" s="122" t="s">
        <v>102</v>
      </c>
      <c r="AH31" s="122" t="s">
        <v>417</v>
      </c>
      <c r="AI31" s="122">
        <v>2023</v>
      </c>
      <c r="AJ31" s="122" t="str">
        <f t="shared" ref="AJ31:AL31" si="45">A21</f>
        <v>Road</v>
      </c>
      <c r="AK31" s="122" t="str">
        <f t="shared" si="45"/>
        <v>Neo bulk</v>
      </c>
      <c r="AL31" s="122" t="str">
        <f t="shared" si="45"/>
        <v>Hydrogen</v>
      </c>
      <c r="AM31" s="132">
        <f t="shared" si="23"/>
        <v>0.99000935421338521</v>
      </c>
    </row>
    <row r="32" spans="1:39" x14ac:dyDescent="0.35">
      <c r="A32" s="122" t="s">
        <v>225</v>
      </c>
      <c r="B32" s="122" t="s">
        <v>221</v>
      </c>
      <c r="C32" s="122" t="s">
        <v>102</v>
      </c>
      <c r="D32" s="122" t="e">
        <f>FIGURES!AC17</f>
        <v>#REF!</v>
      </c>
      <c r="E32" s="122">
        <v>3.2054382492967229E-2</v>
      </c>
      <c r="F32" s="122">
        <v>3.1593858425521863E-2</v>
      </c>
      <c r="G32" s="122">
        <v>3.3105868080487003E-2</v>
      </c>
      <c r="I32" s="131">
        <f t="shared" si="31"/>
        <v>1</v>
      </c>
      <c r="J32" s="131">
        <f t="shared" si="32"/>
        <v>0.98563303886617049</v>
      </c>
      <c r="K32" s="131">
        <f t="shared" si="33"/>
        <v>1.0328031771552757</v>
      </c>
      <c r="M32" s="122" t="e">
        <f>FIGURES!CF17</f>
        <v>#REF!</v>
      </c>
      <c r="N32" s="122">
        <v>2.6727291340349239E-2</v>
      </c>
      <c r="O32" s="122">
        <v>2.6111241916928297E-2</v>
      </c>
      <c r="P32" s="122">
        <v>2.7608638890397191E-2</v>
      </c>
      <c r="R32" s="131">
        <f t="shared" si="34"/>
        <v>1</v>
      </c>
      <c r="S32" s="131">
        <f t="shared" si="35"/>
        <v>0.97695054782858171</v>
      </c>
      <c r="T32" s="131">
        <f t="shared" si="36"/>
        <v>1.032975565642801</v>
      </c>
      <c r="W32" s="122" t="e">
        <f>FIGURES!EI17</f>
        <v>#REF!</v>
      </c>
      <c r="X32" s="122">
        <v>1.9559415994822228E-2</v>
      </c>
      <c r="Y32" s="122">
        <v>1.8915134366617417E-2</v>
      </c>
      <c r="Z32" s="122">
        <v>2.0163430021264243E-2</v>
      </c>
      <c r="AB32" s="131">
        <f t="shared" si="37"/>
        <v>1</v>
      </c>
      <c r="AC32" s="131">
        <f t="shared" si="38"/>
        <v>0.96706028296676316</v>
      </c>
      <c r="AD32" s="131">
        <f t="shared" si="39"/>
        <v>1.0308809847186597</v>
      </c>
      <c r="AG32" s="122" t="s">
        <v>419</v>
      </c>
      <c r="AH32" s="122" t="s">
        <v>418</v>
      </c>
      <c r="AI32" s="122">
        <v>2023</v>
      </c>
      <c r="AJ32" s="122" t="str">
        <f>A7</f>
        <v>Road</v>
      </c>
      <c r="AK32" s="122" t="str">
        <f>B7</f>
        <v>Dry bulk</v>
      </c>
      <c r="AL32" s="122" t="str">
        <f>C7</f>
        <v>Diesel</v>
      </c>
      <c r="AM32" s="132">
        <f>K7</f>
        <v>1.0030138702426397</v>
      </c>
    </row>
    <row r="33" spans="1:39" x14ac:dyDescent="0.35">
      <c r="A33" s="122" t="s">
        <v>225</v>
      </c>
      <c r="B33" s="122" t="s">
        <v>222</v>
      </c>
      <c r="C33" s="122" t="s">
        <v>11</v>
      </c>
      <c r="D33" s="122" t="e">
        <f>FIGURES!AD17</f>
        <v>#REF!</v>
      </c>
      <c r="E33" s="122">
        <v>2.1470265431767766E-2</v>
      </c>
      <c r="F33" s="122">
        <v>2.0919868645195999E-2</v>
      </c>
      <c r="G33" s="122">
        <v>2.1659464327151809E-2</v>
      </c>
      <c r="I33" s="131">
        <f t="shared" si="31"/>
        <v>1</v>
      </c>
      <c r="J33" s="131">
        <f t="shared" si="32"/>
        <v>0.9743646957546509</v>
      </c>
      <c r="K33" s="131">
        <f t="shared" si="33"/>
        <v>1.0088121358343387</v>
      </c>
      <c r="M33" s="122" t="e">
        <f>FIGURES!CG17</f>
        <v>#REF!</v>
      </c>
      <c r="N33" s="122">
        <v>2.0422821458775088E-2</v>
      </c>
      <c r="O33" s="122">
        <v>1.8553765704375114E-2</v>
      </c>
      <c r="P33" s="122">
        <v>2.119108364003152E-2</v>
      </c>
      <c r="R33" s="131">
        <f t="shared" si="34"/>
        <v>1</v>
      </c>
      <c r="S33" s="131">
        <f t="shared" si="35"/>
        <v>0.90848200097264742</v>
      </c>
      <c r="T33" s="131">
        <f t="shared" si="36"/>
        <v>1.037617827821059</v>
      </c>
      <c r="W33" s="122" t="e">
        <f>FIGURES!EJ17</f>
        <v>#REF!</v>
      </c>
      <c r="X33" s="122">
        <v>1.9880517541564273E-2</v>
      </c>
      <c r="Y33" s="122">
        <v>1.7873862590521362E-2</v>
      </c>
      <c r="Z33" s="122">
        <v>2.119917650939248E-2</v>
      </c>
      <c r="AB33" s="131">
        <f t="shared" si="37"/>
        <v>1</v>
      </c>
      <c r="AC33" s="131">
        <f t="shared" si="38"/>
        <v>0.89906424986937139</v>
      </c>
      <c r="AD33" s="131">
        <f t="shared" si="39"/>
        <v>1.0663292072286992</v>
      </c>
      <c r="AG33" s="122" t="s">
        <v>86</v>
      </c>
      <c r="AH33" s="122" t="s">
        <v>418</v>
      </c>
      <c r="AI33" s="122">
        <v>2023</v>
      </c>
      <c r="AJ33" s="122" t="str">
        <f t="shared" ref="AJ33:AL33" si="46">A8</f>
        <v>Road</v>
      </c>
      <c r="AK33" s="122" t="str">
        <f t="shared" si="46"/>
        <v>Dry bulk</v>
      </c>
      <c r="AL33" s="122" t="str">
        <f t="shared" si="46"/>
        <v>Battery</v>
      </c>
      <c r="AM33" s="132">
        <f t="shared" ref="AM33:AM46" si="47">K8</f>
        <v>1.0069706504563516</v>
      </c>
    </row>
    <row r="34" spans="1:39" x14ac:dyDescent="0.35">
      <c r="A34" s="122" t="s">
        <v>225</v>
      </c>
      <c r="B34" s="122" t="s">
        <v>222</v>
      </c>
      <c r="C34" s="122" t="s">
        <v>135</v>
      </c>
      <c r="D34" s="122" t="e">
        <f>FIGURES!AE17</f>
        <v>#REF!</v>
      </c>
      <c r="E34" s="122">
        <v>1.7248335635637553E-2</v>
      </c>
      <c r="F34" s="122">
        <v>1.7057582483756988E-2</v>
      </c>
      <c r="G34" s="122">
        <v>1.7683870288775261E-2</v>
      </c>
      <c r="I34" s="131">
        <f t="shared" si="31"/>
        <v>1</v>
      </c>
      <c r="J34" s="131">
        <f t="shared" si="32"/>
        <v>0.9889407792200865</v>
      </c>
      <c r="K34" s="131">
        <f t="shared" si="33"/>
        <v>1.0252508220119414</v>
      </c>
      <c r="M34" s="122" t="e">
        <f>FIGURES!CH17</f>
        <v>#REF!</v>
      </c>
      <c r="N34" s="122">
        <v>1.7521785240645533E-2</v>
      </c>
      <c r="O34" s="122">
        <v>1.7238412061262268E-2</v>
      </c>
      <c r="P34" s="122">
        <v>1.7926446551282338E-2</v>
      </c>
      <c r="R34" s="131">
        <f t="shared" si="34"/>
        <v>1</v>
      </c>
      <c r="S34" s="131">
        <f t="shared" si="35"/>
        <v>0.98382737971665579</v>
      </c>
      <c r="T34" s="131">
        <f t="shared" si="36"/>
        <v>1.0230947534785499</v>
      </c>
      <c r="W34" s="122" t="e">
        <f>FIGURES!EK17</f>
        <v>#REF!</v>
      </c>
      <c r="X34" s="122">
        <v>1.716012608563498E-2</v>
      </c>
      <c r="Y34" s="122">
        <v>1.6807287885624685E-2</v>
      </c>
      <c r="Z34" s="122">
        <v>1.7490911898144633E-2</v>
      </c>
      <c r="AB34" s="131">
        <f t="shared" si="37"/>
        <v>1</v>
      </c>
      <c r="AC34" s="131">
        <f t="shared" si="38"/>
        <v>0.97943848441150672</v>
      </c>
      <c r="AD34" s="131">
        <f t="shared" si="39"/>
        <v>1.0192764208642127</v>
      </c>
      <c r="AG34" s="122" t="s">
        <v>102</v>
      </c>
      <c r="AH34" s="122" t="s">
        <v>418</v>
      </c>
      <c r="AI34" s="122">
        <v>2023</v>
      </c>
      <c r="AJ34" s="122" t="str">
        <f t="shared" ref="AJ34:AL34" si="48">A9</f>
        <v>Road</v>
      </c>
      <c r="AK34" s="122" t="str">
        <f t="shared" si="48"/>
        <v>Dry bulk</v>
      </c>
      <c r="AL34" s="122" t="str">
        <f t="shared" si="48"/>
        <v>Hydrogen</v>
      </c>
      <c r="AM34" s="132">
        <f t="shared" si="47"/>
        <v>1.0153432968629257</v>
      </c>
    </row>
    <row r="35" spans="1:39" x14ac:dyDescent="0.35">
      <c r="A35" s="122" t="s">
        <v>225</v>
      </c>
      <c r="B35" s="122" t="s">
        <v>222</v>
      </c>
      <c r="C35" s="122" t="s">
        <v>86</v>
      </c>
      <c r="D35" s="122" t="e">
        <f>FIGURES!AF17</f>
        <v>#REF!</v>
      </c>
      <c r="E35" s="122">
        <v>2.4217951941717931E-2</v>
      </c>
      <c r="F35" s="122">
        <v>2.4012095868241601E-2</v>
      </c>
      <c r="G35" s="122">
        <v>2.4687970144163886E-2</v>
      </c>
      <c r="I35" s="131">
        <f t="shared" si="31"/>
        <v>1</v>
      </c>
      <c r="J35" s="131">
        <f t="shared" si="32"/>
        <v>0.99149985622352643</v>
      </c>
      <c r="K35" s="131">
        <f t="shared" si="33"/>
        <v>1.0194078427266304</v>
      </c>
      <c r="M35" s="122" t="e">
        <f>FIGURES!CI17</f>
        <v>#REF!</v>
      </c>
      <c r="N35" s="122">
        <v>2.2271818609021943E-2</v>
      </c>
      <c r="O35" s="122">
        <v>2.1967052678553235E-2</v>
      </c>
      <c r="P35" s="122">
        <v>2.2707029101169868E-2</v>
      </c>
      <c r="R35" s="131">
        <f t="shared" si="34"/>
        <v>1</v>
      </c>
      <c r="S35" s="131">
        <f t="shared" si="35"/>
        <v>0.98631607342809213</v>
      </c>
      <c r="T35" s="131">
        <f t="shared" si="36"/>
        <v>1.0195408601240865</v>
      </c>
      <c r="W35" s="122" t="e">
        <f>FIGURES!EL17</f>
        <v>#REF!</v>
      </c>
      <c r="X35" s="122">
        <v>1.8975509562907757E-2</v>
      </c>
      <c r="Y35" s="122">
        <v>1.8597704142622438E-2</v>
      </c>
      <c r="Z35" s="122">
        <v>1.9329702144425247E-2</v>
      </c>
      <c r="AB35" s="131">
        <f t="shared" si="37"/>
        <v>1</v>
      </c>
      <c r="AC35" s="131">
        <f t="shared" si="38"/>
        <v>0.98008984058990267</v>
      </c>
      <c r="AD35" s="131">
        <f t="shared" si="39"/>
        <v>1.0186657744469665</v>
      </c>
      <c r="AG35" s="122" t="s">
        <v>419</v>
      </c>
      <c r="AH35" s="122" t="s">
        <v>418</v>
      </c>
      <c r="AI35" s="122">
        <v>2023</v>
      </c>
      <c r="AJ35" s="122" t="str">
        <f t="shared" ref="AJ35:AL35" si="49">A10</f>
        <v>Road</v>
      </c>
      <c r="AK35" s="122" t="str">
        <f t="shared" si="49"/>
        <v>Liquid bulk</v>
      </c>
      <c r="AL35" s="122" t="str">
        <f t="shared" si="49"/>
        <v>Diesel</v>
      </c>
      <c r="AM35" s="132">
        <f t="shared" si="47"/>
        <v>1.005240823499894</v>
      </c>
    </row>
    <row r="36" spans="1:39" x14ac:dyDescent="0.35">
      <c r="A36" s="122" t="s">
        <v>225</v>
      </c>
      <c r="B36" s="122" t="s">
        <v>222</v>
      </c>
      <c r="C36" s="122" t="s">
        <v>102</v>
      </c>
      <c r="D36" s="122" t="e">
        <f>FIGURES!AG17</f>
        <v>#REF!</v>
      </c>
      <c r="E36" s="122">
        <v>3.0784480924234296E-2</v>
      </c>
      <c r="F36" s="122">
        <v>3.0323956856788927E-2</v>
      </c>
      <c r="G36" s="122">
        <v>3.1835966511754063E-2</v>
      </c>
      <c r="I36" s="131">
        <f t="shared" si="31"/>
        <v>1</v>
      </c>
      <c r="J36" s="131">
        <f t="shared" si="32"/>
        <v>0.98504038224393664</v>
      </c>
      <c r="K36" s="131">
        <f t="shared" si="33"/>
        <v>1.0341563526800288</v>
      </c>
      <c r="M36" s="122" t="e">
        <f>FIGURES!CJ17</f>
        <v>#REF!</v>
      </c>
      <c r="N36" s="122">
        <v>2.5457389771616303E-2</v>
      </c>
      <c r="O36" s="122">
        <v>2.4841340348195354E-2</v>
      </c>
      <c r="P36" s="122">
        <v>2.6338737321664259E-2</v>
      </c>
      <c r="R36" s="131">
        <f t="shared" si="34"/>
        <v>1</v>
      </c>
      <c r="S36" s="131">
        <f t="shared" si="35"/>
        <v>0.97580076241328517</v>
      </c>
      <c r="T36" s="131">
        <f t="shared" si="36"/>
        <v>1.0346204995074009</v>
      </c>
      <c r="W36" s="122" t="e">
        <f>FIGURES!EM17</f>
        <v>#REF!</v>
      </c>
      <c r="X36" s="122">
        <v>1.8289514426089285E-2</v>
      </c>
      <c r="Y36" s="122">
        <v>1.7645232797884478E-2</v>
      </c>
      <c r="Z36" s="122">
        <v>1.8893528452531304E-2</v>
      </c>
      <c r="AB36" s="131">
        <f t="shared" si="37"/>
        <v>1</v>
      </c>
      <c r="AC36" s="131">
        <f t="shared" si="38"/>
        <v>0.96477316930373147</v>
      </c>
      <c r="AD36" s="131">
        <f t="shared" si="39"/>
        <v>1.0330251537777524</v>
      </c>
      <c r="AG36" s="122" t="s">
        <v>86</v>
      </c>
      <c r="AH36" s="122" t="s">
        <v>418</v>
      </c>
      <c r="AI36" s="122">
        <v>2023</v>
      </c>
      <c r="AJ36" s="122" t="str">
        <f t="shared" ref="AJ36:AL36" si="50">A11</f>
        <v>Road</v>
      </c>
      <c r="AK36" s="122" t="str">
        <f t="shared" si="50"/>
        <v>Liquid bulk</v>
      </c>
      <c r="AL36" s="122" t="str">
        <f t="shared" si="50"/>
        <v>Battery</v>
      </c>
      <c r="AM36" s="132">
        <f t="shared" si="47"/>
        <v>1.0127078082271725</v>
      </c>
    </row>
    <row r="37" spans="1:39" x14ac:dyDescent="0.35">
      <c r="A37" s="122" t="s">
        <v>225</v>
      </c>
      <c r="B37" s="122" t="s">
        <v>223</v>
      </c>
      <c r="C37" s="122" t="s">
        <v>11</v>
      </c>
      <c r="D37" s="122" t="e">
        <f>FIGURES!AH17</f>
        <v>#REF!</v>
      </c>
      <c r="E37" s="122">
        <v>1.9265681698315947E-2</v>
      </c>
      <c r="F37" s="122">
        <v>1.8939520639606751E-2</v>
      </c>
      <c r="G37" s="122">
        <v>1.9377799562247236E-2</v>
      </c>
      <c r="I37" s="131">
        <f t="shared" si="31"/>
        <v>1</v>
      </c>
      <c r="J37" s="131">
        <f t="shared" si="32"/>
        <v>0.98307035983379165</v>
      </c>
      <c r="K37" s="131">
        <f t="shared" si="33"/>
        <v>1.0058195638071343</v>
      </c>
      <c r="M37" s="122" t="e">
        <f>FIGURES!CK17</f>
        <v>#REF!</v>
      </c>
      <c r="N37" s="122">
        <v>1.8644974158764732E-2</v>
      </c>
      <c r="O37" s="122">
        <v>1.7537385563564746E-2</v>
      </c>
      <c r="P37" s="122">
        <v>1.910024063654632E-2</v>
      </c>
      <c r="R37" s="131">
        <f t="shared" si="34"/>
        <v>1</v>
      </c>
      <c r="S37" s="131">
        <f t="shared" si="35"/>
        <v>0.94059586321929411</v>
      </c>
      <c r="T37" s="131">
        <f t="shared" si="36"/>
        <v>1.0244176513147685</v>
      </c>
      <c r="W37" s="122" t="e">
        <f>FIGURES!EN17</f>
        <v>#REF!</v>
      </c>
      <c r="X37" s="122">
        <v>1.8323608874491658E-2</v>
      </c>
      <c r="Y37" s="122">
        <v>1.7134480014614373E-2</v>
      </c>
      <c r="Z37" s="122">
        <v>1.9105036410982441E-2</v>
      </c>
      <c r="AB37" s="131">
        <f t="shared" si="37"/>
        <v>1</v>
      </c>
      <c r="AC37" s="131">
        <f t="shared" si="38"/>
        <v>0.9351040033640603</v>
      </c>
      <c r="AD37" s="131">
        <f t="shared" si="39"/>
        <v>1.0426459406464745</v>
      </c>
      <c r="AG37" s="122" t="s">
        <v>102</v>
      </c>
      <c r="AH37" s="122" t="s">
        <v>418</v>
      </c>
      <c r="AI37" s="122">
        <v>2023</v>
      </c>
      <c r="AJ37" s="122" t="str">
        <f t="shared" ref="AJ37:AL37" si="51">A12</f>
        <v>Road</v>
      </c>
      <c r="AK37" s="122" t="str">
        <f t="shared" si="51"/>
        <v>Liquid bulk</v>
      </c>
      <c r="AL37" s="122" t="str">
        <f t="shared" si="51"/>
        <v>Hydrogen</v>
      </c>
      <c r="AM37" s="132">
        <f t="shared" si="47"/>
        <v>1.0260447504862893</v>
      </c>
    </row>
    <row r="38" spans="1:39" x14ac:dyDescent="0.35">
      <c r="A38" s="122" t="s">
        <v>225</v>
      </c>
      <c r="B38" s="122" t="s">
        <v>223</v>
      </c>
      <c r="C38" s="122" t="s">
        <v>135</v>
      </c>
      <c r="D38" s="122" t="e">
        <f>FIGURES!AI17</f>
        <v>#REF!</v>
      </c>
      <c r="E38" s="122">
        <v>1.6763797374683229E-2</v>
      </c>
      <c r="F38" s="122">
        <v>1.6650758469865117E-2</v>
      </c>
      <c r="G38" s="122">
        <v>1.7021891983950016E-2</v>
      </c>
      <c r="I38" s="131">
        <f t="shared" si="31"/>
        <v>1</v>
      </c>
      <c r="J38" s="131">
        <f t="shared" si="32"/>
        <v>0.99325696306799649</v>
      </c>
      <c r="K38" s="131">
        <f t="shared" si="33"/>
        <v>1.0153959513765396</v>
      </c>
      <c r="M38" s="122" t="e">
        <f>FIGURES!CL17</f>
        <v>#REF!</v>
      </c>
      <c r="N38" s="122">
        <v>1.6925841585058325E-2</v>
      </c>
      <c r="O38" s="122">
        <v>1.6757916738016389E-2</v>
      </c>
      <c r="P38" s="122">
        <v>1.7165640880250507E-2</v>
      </c>
      <c r="R38" s="131">
        <f t="shared" si="34"/>
        <v>1</v>
      </c>
      <c r="S38" s="131">
        <f t="shared" si="35"/>
        <v>0.99007878892177648</v>
      </c>
      <c r="T38" s="131">
        <f t="shared" si="36"/>
        <v>1.0141676438354399</v>
      </c>
      <c r="W38" s="122" t="e">
        <f>FIGURES!EO17</f>
        <v>#REF!</v>
      </c>
      <c r="X38" s="122">
        <v>1.6711525048755775E-2</v>
      </c>
      <c r="Y38" s="122">
        <v>1.6502435745045972E-2</v>
      </c>
      <c r="Z38" s="122">
        <v>1.6907546270983717E-2</v>
      </c>
      <c r="AB38" s="131">
        <f t="shared" si="37"/>
        <v>1</v>
      </c>
      <c r="AC38" s="131">
        <f t="shared" si="38"/>
        <v>0.9874883170087837</v>
      </c>
      <c r="AD38" s="131">
        <f t="shared" si="39"/>
        <v>1.0117297028042653</v>
      </c>
      <c r="AG38" s="122" t="s">
        <v>419</v>
      </c>
      <c r="AH38" s="122" t="s">
        <v>418</v>
      </c>
      <c r="AI38" s="122">
        <v>2023</v>
      </c>
      <c r="AJ38" s="122" t="str">
        <f t="shared" ref="AJ38:AL38" si="52">A13</f>
        <v>Road</v>
      </c>
      <c r="AK38" s="122" t="str">
        <f t="shared" si="52"/>
        <v>Container</v>
      </c>
      <c r="AL38" s="122" t="str">
        <f t="shared" si="52"/>
        <v>Diesel</v>
      </c>
      <c r="AM38" s="132">
        <f t="shared" si="47"/>
        <v>1.0051922420392942</v>
      </c>
    </row>
    <row r="39" spans="1:39" x14ac:dyDescent="0.35">
      <c r="A39" s="122" t="s">
        <v>225</v>
      </c>
      <c r="B39" s="122" t="s">
        <v>223</v>
      </c>
      <c r="C39" s="122" t="s">
        <v>86</v>
      </c>
      <c r="D39" s="122" t="e">
        <f>FIGURES!AJ17</f>
        <v>#REF!</v>
      </c>
      <c r="E39" s="122">
        <v>2.1221213958628901E-2</v>
      </c>
      <c r="F39" s="122">
        <v>2.1097929272656427E-2</v>
      </c>
      <c r="G39" s="122">
        <v>2.1502702114462001E-2</v>
      </c>
      <c r="I39" s="131">
        <f t="shared" si="31"/>
        <v>1</v>
      </c>
      <c r="J39" s="131">
        <f t="shared" si="32"/>
        <v>0.99419049795111536</v>
      </c>
      <c r="K39" s="131">
        <f t="shared" si="33"/>
        <v>1.0132644699960081</v>
      </c>
      <c r="M39" s="122" t="e">
        <f>FIGURES!CM17</f>
        <v>#REF!</v>
      </c>
      <c r="N39" s="122">
        <v>1.9986514239513552E-2</v>
      </c>
      <c r="O39" s="122">
        <v>1.9804412162157507E-2</v>
      </c>
      <c r="P39" s="122">
        <v>2.0246558840251564E-2</v>
      </c>
      <c r="R39" s="131">
        <f t="shared" si="34"/>
        <v>1</v>
      </c>
      <c r="S39" s="131">
        <f t="shared" si="35"/>
        <v>0.99088875252714015</v>
      </c>
      <c r="T39" s="131">
        <f t="shared" si="36"/>
        <v>1.0130110032005433</v>
      </c>
      <c r="W39" s="122" t="e">
        <f>FIGURES!EP17</f>
        <v>#REF!</v>
      </c>
      <c r="X39" s="122">
        <v>1.7933559776614191E-2</v>
      </c>
      <c r="Y39" s="122">
        <v>1.7708487558648144E-2</v>
      </c>
      <c r="Z39" s="122">
        <v>1.8144564980957366E-2</v>
      </c>
      <c r="AB39" s="131">
        <f t="shared" si="37"/>
        <v>1</v>
      </c>
      <c r="AC39" s="131">
        <f t="shared" si="38"/>
        <v>0.98744966304684545</v>
      </c>
      <c r="AD39" s="131">
        <f t="shared" si="39"/>
        <v>1.0117659408935826</v>
      </c>
      <c r="AG39" s="122" t="s">
        <v>86</v>
      </c>
      <c r="AH39" s="122" t="s">
        <v>418</v>
      </c>
      <c r="AI39" s="122">
        <v>2023</v>
      </c>
      <c r="AJ39" s="122" t="str">
        <f t="shared" ref="AJ39:AL39" si="53">A14</f>
        <v>Road</v>
      </c>
      <c r="AK39" s="122" t="str">
        <f t="shared" si="53"/>
        <v>Container</v>
      </c>
      <c r="AL39" s="122" t="str">
        <f t="shared" si="53"/>
        <v>Battery</v>
      </c>
      <c r="AM39" s="132">
        <f t="shared" si="47"/>
        <v>1.0124946446569481</v>
      </c>
    </row>
    <row r="40" spans="1:39" x14ac:dyDescent="0.35">
      <c r="A40" s="122" t="s">
        <v>225</v>
      </c>
      <c r="B40" s="122" t="s">
        <v>223</v>
      </c>
      <c r="C40" s="122" t="s">
        <v>102</v>
      </c>
      <c r="D40" s="122" t="e">
        <f>FIGURES!AK17</f>
        <v>#REF!</v>
      </c>
      <c r="E40" s="122">
        <v>2.4968173966746804E-2</v>
      </c>
      <c r="F40" s="122">
        <v>2.4693826536302244E-2</v>
      </c>
      <c r="G40" s="122">
        <v>2.5594574169206932E-2</v>
      </c>
      <c r="I40" s="131">
        <f>E40/E40</f>
        <v>1</v>
      </c>
      <c r="J40" s="131">
        <f>F40/E40</f>
        <v>0.98901211475016382</v>
      </c>
      <c r="K40" s="131">
        <f>G40/E40</f>
        <v>1.0250879460906666</v>
      </c>
      <c r="M40" s="122" t="e">
        <f>FIGURES!CN17</f>
        <v>#REF!</v>
      </c>
      <c r="N40" s="122">
        <v>2.1794672573927469E-2</v>
      </c>
      <c r="O40" s="122">
        <v>2.1427674216425909E-2</v>
      </c>
      <c r="P40" s="122">
        <v>2.2319716654740793E-2</v>
      </c>
      <c r="R40" s="131">
        <f>N40/N40</f>
        <v>1</v>
      </c>
      <c r="S40" s="131">
        <f>O40/N40</f>
        <v>0.98316109791249662</v>
      </c>
      <c r="T40" s="131">
        <f>P40/N40</f>
        <v>1.0240904780300037</v>
      </c>
      <c r="W40" s="122" t="e">
        <f>FIGURES!EQ17</f>
        <v>#REF!</v>
      </c>
      <c r="X40" s="122">
        <v>1.7524563101254713E-2</v>
      </c>
      <c r="Y40" s="122">
        <v>1.7140746007479047E-2</v>
      </c>
      <c r="Z40" s="122">
        <v>1.7884391626669393E-2</v>
      </c>
      <c r="AB40" s="131">
        <f>X40/X40</f>
        <v>1</v>
      </c>
      <c r="AC40" s="131">
        <f>Y40/X40</f>
        <v>0.97809833594378248</v>
      </c>
      <c r="AD40" s="131">
        <f>Z40/X40</f>
        <v>1.0205328100527036</v>
      </c>
      <c r="AG40" s="122" t="s">
        <v>102</v>
      </c>
      <c r="AH40" s="122" t="s">
        <v>418</v>
      </c>
      <c r="AI40" s="122">
        <v>2023</v>
      </c>
      <c r="AJ40" s="122" t="str">
        <f t="shared" ref="AJ40:AL40" si="54">A15</f>
        <v>Road</v>
      </c>
      <c r="AK40" s="122" t="str">
        <f t="shared" si="54"/>
        <v>Container</v>
      </c>
      <c r="AL40" s="122" t="str">
        <f t="shared" si="54"/>
        <v>Hydrogen</v>
      </c>
      <c r="AM40" s="132">
        <f t="shared" si="47"/>
        <v>1.0256367681491996</v>
      </c>
    </row>
    <row r="41" spans="1:39" x14ac:dyDescent="0.35">
      <c r="A41" s="122" t="s">
        <v>225</v>
      </c>
      <c r="B41" s="122" t="s">
        <v>224</v>
      </c>
      <c r="C41" s="122" t="s">
        <v>11</v>
      </c>
      <c r="D41" s="122" t="e">
        <f>FIGURES!AL17</f>
        <v>#REF!</v>
      </c>
      <c r="E41" s="122">
        <v>2.2310818156442702E-2</v>
      </c>
      <c r="F41" s="122">
        <v>2.1760421369870931E-2</v>
      </c>
      <c r="G41" s="122">
        <v>2.2500017051826748E-2</v>
      </c>
      <c r="I41" s="131">
        <f t="shared" ref="I41:I44" si="55">E41/E41</f>
        <v>1</v>
      </c>
      <c r="J41" s="131">
        <f t="shared" ref="J41:J44" si="56">F41/E41</f>
        <v>0.97533049739761191</v>
      </c>
      <c r="K41" s="131">
        <f t="shared" ref="K41:K44" si="57">G41/E41</f>
        <v>1.008480141519571</v>
      </c>
      <c r="M41" s="122" t="e">
        <f>FIGURES!CO17</f>
        <v>#REF!</v>
      </c>
      <c r="N41" s="122">
        <v>2.1263374183450028E-2</v>
      </c>
      <c r="O41" s="122">
        <v>1.939431842905005E-2</v>
      </c>
      <c r="P41" s="122">
        <v>2.2031636364706456E-2</v>
      </c>
      <c r="R41" s="131">
        <f t="shared" ref="R41:R44" si="58">N41/N41</f>
        <v>1</v>
      </c>
      <c r="S41" s="131">
        <f t="shared" ref="S41:S44" si="59">O41/N41</f>
        <v>0.91209975715638192</v>
      </c>
      <c r="T41" s="131">
        <f t="shared" ref="T41:T44" si="60">P41/N41</f>
        <v>1.0361307746657815</v>
      </c>
      <c r="W41" s="122" t="e">
        <f>FIGURES!ER17</f>
        <v>#REF!</v>
      </c>
      <c r="X41" s="122">
        <v>2.0721070266239212E-2</v>
      </c>
      <c r="Y41" s="122">
        <v>1.8714415315196298E-2</v>
      </c>
      <c r="Z41" s="122">
        <v>2.2039729234067412E-2</v>
      </c>
      <c r="AB41" s="131">
        <f t="shared" ref="AB41:AB44" si="61">X41/X41</f>
        <v>1</v>
      </c>
      <c r="AC41" s="131">
        <f t="shared" ref="AC41:AC44" si="62">Y41/X41</f>
        <v>0.90315872079675574</v>
      </c>
      <c r="AD41" s="131">
        <f t="shared" ref="AD41:AD44" si="63">Z41/X41</f>
        <v>1.0636385549049889</v>
      </c>
      <c r="AG41" s="122" t="s">
        <v>419</v>
      </c>
      <c r="AH41" s="122" t="s">
        <v>418</v>
      </c>
      <c r="AI41" s="122">
        <v>2023</v>
      </c>
      <c r="AJ41" s="122" t="str">
        <f t="shared" ref="AJ41:AL41" si="64">A16</f>
        <v>Road</v>
      </c>
      <c r="AK41" s="122" t="str">
        <f t="shared" si="64"/>
        <v>Break bulk</v>
      </c>
      <c r="AL41" s="122" t="str">
        <f t="shared" si="64"/>
        <v>Diesel</v>
      </c>
      <c r="AM41" s="132">
        <f t="shared" si="47"/>
        <v>1.0040557798417171</v>
      </c>
    </row>
    <row r="42" spans="1:39" x14ac:dyDescent="0.35">
      <c r="A42" s="122" t="s">
        <v>225</v>
      </c>
      <c r="B42" s="122" t="s">
        <v>224</v>
      </c>
      <c r="C42" s="122" t="s">
        <v>135</v>
      </c>
      <c r="D42" s="122" t="e">
        <f>FIGURES!AM17</f>
        <v>#REF!</v>
      </c>
      <c r="E42" s="122">
        <v>1.8088888360312493E-2</v>
      </c>
      <c r="F42" s="122">
        <v>1.7898135208431927E-2</v>
      </c>
      <c r="G42" s="122">
        <v>1.8524423013450197E-2</v>
      </c>
      <c r="I42" s="131">
        <f t="shared" si="55"/>
        <v>1</v>
      </c>
      <c r="J42" s="131">
        <f t="shared" si="56"/>
        <v>0.9894546780276956</v>
      </c>
      <c r="K42" s="131">
        <f t="shared" si="57"/>
        <v>1.0240774692431227</v>
      </c>
      <c r="M42" s="122" t="e">
        <f>FIGURES!CP17</f>
        <v>#REF!</v>
      </c>
      <c r="N42" s="122">
        <v>1.8362337965320469E-2</v>
      </c>
      <c r="O42" s="122">
        <v>1.8078964785937204E-2</v>
      </c>
      <c r="P42" s="122">
        <v>1.8766999275957274E-2</v>
      </c>
      <c r="R42" s="131">
        <f t="shared" si="58"/>
        <v>1</v>
      </c>
      <c r="S42" s="131">
        <f t="shared" si="59"/>
        <v>0.98456769612244088</v>
      </c>
      <c r="T42" s="131">
        <f t="shared" si="60"/>
        <v>1.0220375701286546</v>
      </c>
      <c r="W42" s="122" t="e">
        <f>FIGURES!ES17</f>
        <v>#REF!</v>
      </c>
      <c r="X42" s="122">
        <v>1.8000678810309916E-2</v>
      </c>
      <c r="Y42" s="122">
        <v>1.7647840610299621E-2</v>
      </c>
      <c r="Z42" s="122">
        <v>1.8331464622819565E-2</v>
      </c>
      <c r="AB42" s="131">
        <f t="shared" si="61"/>
        <v>1</v>
      </c>
      <c r="AC42" s="131">
        <f t="shared" si="62"/>
        <v>0.98039861697836606</v>
      </c>
      <c r="AD42" s="131">
        <f t="shared" si="63"/>
        <v>1.0183762965827818</v>
      </c>
      <c r="AG42" s="122" t="s">
        <v>86</v>
      </c>
      <c r="AH42" s="122" t="s">
        <v>418</v>
      </c>
      <c r="AI42" s="122">
        <v>2023</v>
      </c>
      <c r="AJ42" s="122" t="str">
        <f t="shared" ref="AJ42:AL42" si="65">A17</f>
        <v>Road</v>
      </c>
      <c r="AK42" s="122" t="str">
        <f t="shared" si="65"/>
        <v>Break bulk</v>
      </c>
      <c r="AL42" s="122" t="str">
        <f t="shared" si="65"/>
        <v>Battery</v>
      </c>
      <c r="AM42" s="132">
        <f t="shared" si="47"/>
        <v>1.0095666203350515</v>
      </c>
    </row>
    <row r="43" spans="1:39" x14ac:dyDescent="0.35">
      <c r="A43" s="122" t="s">
        <v>225</v>
      </c>
      <c r="B43" s="122" t="s">
        <v>224</v>
      </c>
      <c r="C43" s="122" t="s">
        <v>86</v>
      </c>
      <c r="D43" s="122" t="e">
        <f>FIGURES!AN17</f>
        <v>#REF!</v>
      </c>
      <c r="E43" s="122">
        <v>2.49301340667612E-2</v>
      </c>
      <c r="F43" s="122">
        <v>2.4725437966150184E-2</v>
      </c>
      <c r="G43" s="122">
        <v>2.5397503776248789E-2</v>
      </c>
      <c r="I43" s="131">
        <f t="shared" si="55"/>
        <v>1</v>
      </c>
      <c r="J43" s="131">
        <f t="shared" si="56"/>
        <v>0.99178920979474661</v>
      </c>
      <c r="K43" s="131">
        <f t="shared" si="57"/>
        <v>1.0187471799484111</v>
      </c>
      <c r="M43" s="122" t="e">
        <f>FIGURES!CQ17</f>
        <v>#REF!</v>
      </c>
      <c r="N43" s="122">
        <v>2.302084239242996E-2</v>
      </c>
      <c r="O43" s="122">
        <v>2.2717415386607508E-2</v>
      </c>
      <c r="P43" s="122">
        <v>2.3454140879343735E-2</v>
      </c>
      <c r="R43" s="131">
        <f t="shared" si="58"/>
        <v>1</v>
      </c>
      <c r="S43" s="131">
        <f t="shared" si="59"/>
        <v>0.9868194655673318</v>
      </c>
      <c r="T43" s="131">
        <f t="shared" si="60"/>
        <v>1.0188220083143551</v>
      </c>
      <c r="W43" s="122" t="e">
        <f>FIGURES!ET17</f>
        <v>#REF!</v>
      </c>
      <c r="X43" s="122">
        <v>1.976704357882381E-2</v>
      </c>
      <c r="Y43" s="122">
        <v>1.9390294272631441E-2</v>
      </c>
      <c r="Z43" s="122">
        <v>2.0120246053379153E-2</v>
      </c>
      <c r="AB43" s="131">
        <f t="shared" si="61"/>
        <v>1</v>
      </c>
      <c r="AC43" s="131">
        <f t="shared" si="62"/>
        <v>0.98094053343434851</v>
      </c>
      <c r="AD43" s="131">
        <f t="shared" si="63"/>
        <v>1.0178682499052982</v>
      </c>
      <c r="AG43" s="122" t="s">
        <v>102</v>
      </c>
      <c r="AH43" s="122" t="s">
        <v>418</v>
      </c>
      <c r="AI43" s="122">
        <v>2023</v>
      </c>
      <c r="AJ43" s="122" t="str">
        <f t="shared" ref="AJ43:AL43" si="66">A18</f>
        <v>Road</v>
      </c>
      <c r="AK43" s="122" t="str">
        <f t="shared" si="66"/>
        <v>Break bulk</v>
      </c>
      <c r="AL43" s="122" t="str">
        <f t="shared" si="66"/>
        <v>Hydrogen</v>
      </c>
      <c r="AM43" s="132">
        <f t="shared" si="47"/>
        <v>1.0203660087950106</v>
      </c>
    </row>
    <row r="44" spans="1:39" x14ac:dyDescent="0.35">
      <c r="A44" s="122" t="s">
        <v>225</v>
      </c>
      <c r="B44" s="122" t="s">
        <v>224</v>
      </c>
      <c r="C44" s="122" t="s">
        <v>102</v>
      </c>
      <c r="D44" s="122" t="e">
        <f>FIGURES!AO17</f>
        <v>#REF!</v>
      </c>
      <c r="E44" s="122">
        <v>3.1543189491869697E-2</v>
      </c>
      <c r="F44" s="122">
        <v>3.1083949862595519E-2</v>
      </c>
      <c r="G44" s="122">
        <v>3.259174240264022E-2</v>
      </c>
      <c r="I44" s="131">
        <f t="shared" si="55"/>
        <v>1</v>
      </c>
      <c r="J44" s="131">
        <f t="shared" si="56"/>
        <v>0.98544092602326894</v>
      </c>
      <c r="K44" s="131">
        <f t="shared" si="57"/>
        <v>1.033241816305253</v>
      </c>
      <c r="M44" s="122" t="e">
        <f>FIGURES!CR17</f>
        <v>#REF!</v>
      </c>
      <c r="N44" s="122">
        <v>2.6230956019233066E-2</v>
      </c>
      <c r="O44" s="122">
        <v>2.5616624806543579E-2</v>
      </c>
      <c r="P44" s="122">
        <v>2.7109845421020403E-2</v>
      </c>
      <c r="R44" s="131">
        <f t="shared" si="58"/>
        <v>1</v>
      </c>
      <c r="S44" s="131">
        <f t="shared" si="59"/>
        <v>0.97657991526351362</v>
      </c>
      <c r="T44" s="131">
        <f t="shared" si="60"/>
        <v>1.0335058089816824</v>
      </c>
      <c r="W44" s="122" t="e">
        <f>FIGURES!EU17</f>
        <v>#REF!</v>
      </c>
      <c r="X44" s="122">
        <v>1.9083072446885646E-2</v>
      </c>
      <c r="Y44" s="122">
        <v>1.8440587771271937E-2</v>
      </c>
      <c r="Z44" s="122">
        <v>1.9685401830273497E-2</v>
      </c>
      <c r="AB44" s="131">
        <f t="shared" si="61"/>
        <v>1</v>
      </c>
      <c r="AC44" s="131">
        <f t="shared" si="62"/>
        <v>0.96633222048483269</v>
      </c>
      <c r="AD44" s="131">
        <f t="shared" si="63"/>
        <v>1.0315635432954693</v>
      </c>
      <c r="AG44" s="122" t="s">
        <v>419</v>
      </c>
      <c r="AH44" s="122" t="s">
        <v>418</v>
      </c>
      <c r="AI44" s="122">
        <v>2023</v>
      </c>
      <c r="AJ44" s="122" t="str">
        <f t="shared" ref="AJ44:AL44" si="67">A19</f>
        <v>Road</v>
      </c>
      <c r="AK44" s="122" t="str">
        <f t="shared" si="67"/>
        <v>Neo bulk</v>
      </c>
      <c r="AL44" s="122" t="str">
        <f t="shared" si="67"/>
        <v>Diesel</v>
      </c>
      <c r="AM44" s="132">
        <f t="shared" si="47"/>
        <v>1.0045796038386168</v>
      </c>
    </row>
    <row r="45" spans="1:39" x14ac:dyDescent="0.35">
      <c r="AG45" s="122" t="s">
        <v>86</v>
      </c>
      <c r="AH45" s="122" t="s">
        <v>418</v>
      </c>
      <c r="AI45" s="122">
        <v>2023</v>
      </c>
      <c r="AJ45" s="122" t="str">
        <f t="shared" ref="AJ45:AL45" si="68">A20</f>
        <v>Road</v>
      </c>
      <c r="AK45" s="122" t="str">
        <f t="shared" si="68"/>
        <v>Neo bulk</v>
      </c>
      <c r="AL45" s="122" t="str">
        <f t="shared" si="68"/>
        <v>Battery</v>
      </c>
      <c r="AM45" s="132">
        <f t="shared" si="47"/>
        <v>1.0108984121652742</v>
      </c>
    </row>
    <row r="46" spans="1:39" x14ac:dyDescent="0.35">
      <c r="A46" s="122" t="s">
        <v>408</v>
      </c>
      <c r="I46" s="147" t="s">
        <v>410</v>
      </c>
      <c r="J46" s="147"/>
      <c r="K46" s="147"/>
      <c r="S46" s="147" t="s">
        <v>410</v>
      </c>
      <c r="T46" s="147"/>
      <c r="U46" s="147"/>
      <c r="AB46" s="147" t="s">
        <v>410</v>
      </c>
      <c r="AC46" s="147"/>
      <c r="AD46" s="147"/>
      <c r="AG46" s="122" t="s">
        <v>102</v>
      </c>
      <c r="AH46" s="122" t="s">
        <v>418</v>
      </c>
      <c r="AI46" s="122">
        <v>2023</v>
      </c>
      <c r="AJ46" s="122" t="str">
        <f t="shared" ref="AJ46:AL46" si="69">A21</f>
        <v>Road</v>
      </c>
      <c r="AK46" s="122" t="str">
        <f t="shared" si="69"/>
        <v>Neo bulk</v>
      </c>
      <c r="AL46" s="122" t="str">
        <f t="shared" si="69"/>
        <v>Hydrogen</v>
      </c>
      <c r="AM46" s="132">
        <f t="shared" si="47"/>
        <v>1.0228110120561447</v>
      </c>
    </row>
    <row r="47" spans="1:39" x14ac:dyDescent="0.35">
      <c r="D47" s="129" t="s">
        <v>409</v>
      </c>
      <c r="E47" s="122" t="s">
        <v>416</v>
      </c>
      <c r="F47" s="122" t="s">
        <v>417</v>
      </c>
      <c r="G47" s="122" t="s">
        <v>418</v>
      </c>
      <c r="I47" s="122" t="s">
        <v>416</v>
      </c>
      <c r="J47" s="122" t="s">
        <v>417</v>
      </c>
      <c r="K47" s="122" t="s">
        <v>418</v>
      </c>
      <c r="N47" s="129" t="s">
        <v>409</v>
      </c>
      <c r="O47" s="122" t="s">
        <v>416</v>
      </c>
      <c r="P47" s="122" t="s">
        <v>417</v>
      </c>
      <c r="Q47" s="122" t="s">
        <v>418</v>
      </c>
      <c r="S47" s="122" t="s">
        <v>416</v>
      </c>
      <c r="T47" s="122" t="s">
        <v>417</v>
      </c>
      <c r="U47" s="122" t="s">
        <v>418</v>
      </c>
      <c r="W47" s="129" t="s">
        <v>409</v>
      </c>
      <c r="X47" s="122" t="s">
        <v>416</v>
      </c>
      <c r="Y47" s="122" t="s">
        <v>417</v>
      </c>
      <c r="Z47" s="122" t="s">
        <v>418</v>
      </c>
      <c r="AB47" s="122" t="s">
        <v>416</v>
      </c>
      <c r="AC47" s="122" t="s">
        <v>417</v>
      </c>
      <c r="AD47" s="122" t="s">
        <v>418</v>
      </c>
      <c r="AG47" s="122" t="s">
        <v>419</v>
      </c>
      <c r="AH47" s="122" t="s">
        <v>416</v>
      </c>
      <c r="AI47" s="122">
        <v>2034</v>
      </c>
      <c r="AJ47" s="122" t="str">
        <f>A7</f>
        <v>Road</v>
      </c>
      <c r="AK47" s="122" t="str">
        <f>B7</f>
        <v>Dry bulk</v>
      </c>
      <c r="AL47" s="122" t="str">
        <f>C7</f>
        <v>Diesel</v>
      </c>
      <c r="AM47" s="132">
        <f>R7</f>
        <v>1</v>
      </c>
    </row>
    <row r="48" spans="1:39" x14ac:dyDescent="0.35">
      <c r="A48" s="122" t="s">
        <v>167</v>
      </c>
      <c r="B48" s="122" t="s">
        <v>220</v>
      </c>
      <c r="C48" s="122" t="s">
        <v>276</v>
      </c>
      <c r="D48" s="122" t="e">
        <f>FIGURES!B17</f>
        <v>#REF!</v>
      </c>
      <c r="E48" s="122">
        <v>6.723447093602411E-3</v>
      </c>
      <c r="F48" s="122">
        <v>6.4142656974671992E-3</v>
      </c>
      <c r="G48" s="122">
        <v>6.8297281985238902E-3</v>
      </c>
      <c r="I48" s="131">
        <f>E48/E48</f>
        <v>1</v>
      </c>
      <c r="J48" s="131">
        <f>F48/E48</f>
        <v>0.9540144524332751</v>
      </c>
      <c r="K48" s="131">
        <f>G48/E48</f>
        <v>1.0158075319760618</v>
      </c>
      <c r="N48" s="122" t="e">
        <f>FIGURES!BE17</f>
        <v>#REF!</v>
      </c>
      <c r="O48" s="122">
        <v>6.0827461416992253E-3</v>
      </c>
      <c r="P48" s="122">
        <v>5.0407860100282875E-3</v>
      </c>
      <c r="Q48" s="122">
        <v>6.5110365025701023E-3</v>
      </c>
      <c r="S48" s="131">
        <f>O48/O48</f>
        <v>1</v>
      </c>
      <c r="T48" s="131">
        <f>P48/O48</f>
        <v>0.82870234801877418</v>
      </c>
      <c r="U48" s="131">
        <f>Q48/O48</f>
        <v>1.0704106913051665</v>
      </c>
      <c r="W48" s="122" t="e">
        <f>FIGURES!DH17</f>
        <v>#REF!</v>
      </c>
      <c r="X48" s="122">
        <v>5.6683610640826379E-3</v>
      </c>
      <c r="Y48" s="122">
        <v>4.6215283757355171E-3</v>
      </c>
      <c r="Z48" s="122">
        <v>6.3562796878536042E-3</v>
      </c>
      <c r="AB48" s="131">
        <f>X48/X48</f>
        <v>1</v>
      </c>
      <c r="AC48" s="131">
        <f>Y48/X48</f>
        <v>0.81532004109965084</v>
      </c>
      <c r="AD48" s="131">
        <f>Z48/X48</f>
        <v>1.121361115848801</v>
      </c>
      <c r="AG48" s="122" t="s">
        <v>86</v>
      </c>
      <c r="AH48" s="122" t="s">
        <v>416</v>
      </c>
      <c r="AI48" s="122">
        <v>2034</v>
      </c>
      <c r="AJ48" s="122" t="str">
        <f t="shared" ref="AJ48:AL48" si="70">A8</f>
        <v>Road</v>
      </c>
      <c r="AK48" s="122" t="str">
        <f t="shared" si="70"/>
        <v>Dry bulk</v>
      </c>
      <c r="AL48" s="122" t="str">
        <f t="shared" si="70"/>
        <v>Battery</v>
      </c>
      <c r="AM48" s="132">
        <f t="shared" ref="AM48:AM61" si="71">R8</f>
        <v>1</v>
      </c>
    </row>
    <row r="49" spans="1:39" x14ac:dyDescent="0.35">
      <c r="A49" s="122" t="s">
        <v>167</v>
      </c>
      <c r="B49" s="122" t="s">
        <v>220</v>
      </c>
      <c r="C49" s="122" t="s">
        <v>275</v>
      </c>
      <c r="D49" s="122" t="e">
        <f>FIGURES!C17</f>
        <v>#REF!</v>
      </c>
      <c r="E49" s="122">
        <v>1.032270109405839E-2</v>
      </c>
      <c r="F49" s="122">
        <v>9.6329818300335598E-3</v>
      </c>
      <c r="G49" s="122">
        <v>1.0559792091066927E-2</v>
      </c>
      <c r="I49" s="131">
        <f t="shared" ref="I49:I62" si="72">E49/E49</f>
        <v>1</v>
      </c>
      <c r="J49" s="131">
        <f t="shared" ref="J49:J62" si="73">F49/E49</f>
        <v>0.93318422593657946</v>
      </c>
      <c r="K49" s="131">
        <f t="shared" ref="K49:K62" si="74">G49/E49</f>
        <v>1.0229679223343009</v>
      </c>
      <c r="N49" s="122" t="e">
        <f>FIGURES!BF17</f>
        <v>#REF!</v>
      </c>
      <c r="O49" s="122">
        <v>8.8836488411069524E-3</v>
      </c>
      <c r="P49" s="122">
        <v>6.5592529229094422E-3</v>
      </c>
      <c r="Q49" s="122">
        <v>9.8390753841697334E-3</v>
      </c>
      <c r="S49" s="131">
        <f t="shared" ref="S49:S62" si="75">O49/O49</f>
        <v>1</v>
      </c>
      <c r="T49" s="131">
        <f t="shared" ref="T49:T62" si="76">P49/O49</f>
        <v>0.73835121583803198</v>
      </c>
      <c r="U49" s="131">
        <f t="shared" ref="U49:U62" si="77">Q49/O49</f>
        <v>1.1075488867414225</v>
      </c>
      <c r="W49" s="122" t="e">
        <f>FIGURES!DI17</f>
        <v>#REF!</v>
      </c>
      <c r="X49" s="122">
        <v>7.8771031584756231E-3</v>
      </c>
      <c r="Y49" s="122">
        <v>5.5418375817325935E-3</v>
      </c>
      <c r="Z49" s="122">
        <v>9.4117062517638985E-3</v>
      </c>
      <c r="AB49" s="131">
        <f t="shared" ref="AB49:AB62" si="78">X49/X49</f>
        <v>1</v>
      </c>
      <c r="AC49" s="131">
        <f t="shared" ref="AC49:AC62" si="79">Y49/X49</f>
        <v>0.70353751502792938</v>
      </c>
      <c r="AD49" s="131">
        <f t="shared" ref="AD49:AD62" si="80">Z49/X49</f>
        <v>1.1948182044102178</v>
      </c>
      <c r="AG49" s="122" t="s">
        <v>102</v>
      </c>
      <c r="AH49" s="122" t="s">
        <v>416</v>
      </c>
      <c r="AI49" s="122">
        <v>2034</v>
      </c>
      <c r="AJ49" s="122" t="str">
        <f t="shared" ref="AJ49:AL49" si="81">A9</f>
        <v>Road</v>
      </c>
      <c r="AK49" s="122" t="str">
        <f t="shared" si="81"/>
        <v>Dry bulk</v>
      </c>
      <c r="AL49" s="122" t="str">
        <f t="shared" si="81"/>
        <v>Hydrogen</v>
      </c>
      <c r="AM49" s="132">
        <f t="shared" si="71"/>
        <v>1</v>
      </c>
    </row>
    <row r="50" spans="1:39" x14ac:dyDescent="0.35">
      <c r="A50" s="122" t="s">
        <v>167</v>
      </c>
      <c r="B50" s="122" t="s">
        <v>220</v>
      </c>
      <c r="C50" s="122" t="s">
        <v>102</v>
      </c>
      <c r="D50" s="122" t="e">
        <f>FIGURES!D17</f>
        <v>#REF!</v>
      </c>
      <c r="E50" s="122">
        <v>2.2908180703883885E-2</v>
      </c>
      <c r="F50" s="122">
        <v>2.2025395067982276E-2</v>
      </c>
      <c r="G50" s="122">
        <v>2.4923789525740158E-2</v>
      </c>
      <c r="I50" s="131">
        <f t="shared" si="72"/>
        <v>1</v>
      </c>
      <c r="J50" s="131">
        <f t="shared" si="73"/>
        <v>0.96146417529559902</v>
      </c>
      <c r="K50" s="131">
        <f t="shared" si="74"/>
        <v>1.0879864205678518</v>
      </c>
      <c r="N50" s="122" t="e">
        <f>FIGURES!BG17</f>
        <v>#REF!</v>
      </c>
      <c r="O50" s="122">
        <v>1.995234937158101E-2</v>
      </c>
      <c r="P50" s="122">
        <v>1.8706058797618295E-2</v>
      </c>
      <c r="Q50" s="122">
        <v>2.1735347784127789E-2</v>
      </c>
      <c r="S50" s="131">
        <f t="shared" si="75"/>
        <v>1</v>
      </c>
      <c r="T50" s="131">
        <f t="shared" si="76"/>
        <v>0.93753665040880552</v>
      </c>
      <c r="U50" s="131">
        <f t="shared" si="77"/>
        <v>1.0893628303785809</v>
      </c>
      <c r="W50" s="122" t="e">
        <f>FIGURES!DJ17</f>
        <v>#REF!</v>
      </c>
      <c r="X50" s="122">
        <v>1.3237758655356561E-2</v>
      </c>
      <c r="Y50" s="122">
        <v>1.1970916927807121E-2</v>
      </c>
      <c r="Z50" s="122">
        <v>1.4425422774934169E-2</v>
      </c>
      <c r="AB50" s="131">
        <f t="shared" si="78"/>
        <v>1</v>
      </c>
      <c r="AC50" s="131">
        <f t="shared" si="79"/>
        <v>0.90430088955906274</v>
      </c>
      <c r="AD50" s="131">
        <f t="shared" si="80"/>
        <v>1.0897179160383792</v>
      </c>
      <c r="AG50" s="122" t="s">
        <v>419</v>
      </c>
      <c r="AH50" s="122" t="s">
        <v>416</v>
      </c>
      <c r="AI50" s="122">
        <v>2034</v>
      </c>
      <c r="AJ50" s="122" t="str">
        <f t="shared" ref="AJ50:AL50" si="82">A10</f>
        <v>Road</v>
      </c>
      <c r="AK50" s="122" t="str">
        <f t="shared" si="82"/>
        <v>Liquid bulk</v>
      </c>
      <c r="AL50" s="122" t="str">
        <f t="shared" si="82"/>
        <v>Diesel</v>
      </c>
      <c r="AM50" s="132">
        <f t="shared" si="71"/>
        <v>1</v>
      </c>
    </row>
    <row r="51" spans="1:39" x14ac:dyDescent="0.35">
      <c r="A51" s="122" t="s">
        <v>167</v>
      </c>
      <c r="B51" s="122" t="s">
        <v>220</v>
      </c>
      <c r="C51" s="122" t="s">
        <v>185</v>
      </c>
      <c r="D51" s="122" t="e">
        <f>FIGURES!E17</f>
        <v>#REF!</v>
      </c>
      <c r="E51" s="122">
        <v>2.0758202356560212E-2</v>
      </c>
      <c r="F51" s="122">
        <v>1.9777089481023791E-2</v>
      </c>
      <c r="G51" s="122">
        <v>2.2998315569490169E-2</v>
      </c>
      <c r="I51" s="131">
        <f t="shared" si="72"/>
        <v>1</v>
      </c>
      <c r="J51" s="131">
        <f t="shared" si="73"/>
        <v>0.95273613491746512</v>
      </c>
      <c r="K51" s="131">
        <f t="shared" si="74"/>
        <v>1.1079146052462492</v>
      </c>
      <c r="N51" s="122" t="e">
        <f>FIGURES!BH17</f>
        <v>#REF!</v>
      </c>
      <c r="O51" s="122">
        <v>1.9266716721993031E-2</v>
      </c>
      <c r="P51" s="122">
        <v>1.7880451741358844E-2</v>
      </c>
      <c r="Q51" s="122">
        <v>2.1249968711118561E-2</v>
      </c>
      <c r="S51" s="131">
        <f t="shared" si="75"/>
        <v>1</v>
      </c>
      <c r="T51" s="131">
        <f t="shared" si="76"/>
        <v>0.92804871734830874</v>
      </c>
      <c r="U51" s="131">
        <f t="shared" si="77"/>
        <v>1.102936687020557</v>
      </c>
      <c r="W51" s="122" t="e">
        <f>FIGURES!DK17</f>
        <v>#REF!</v>
      </c>
      <c r="X51" s="122">
        <v>1.3348446874230126E-2</v>
      </c>
      <c r="Y51" s="122">
        <v>1.1929596894917977E-2</v>
      </c>
      <c r="Z51" s="122">
        <v>1.467861872983527E-2</v>
      </c>
      <c r="AB51" s="131">
        <f t="shared" si="78"/>
        <v>1</v>
      </c>
      <c r="AC51" s="131">
        <f t="shared" si="79"/>
        <v>0.89370673662032452</v>
      </c>
      <c r="AD51" s="131">
        <f t="shared" si="80"/>
        <v>1.0996499344184461</v>
      </c>
      <c r="AG51" s="122" t="s">
        <v>86</v>
      </c>
      <c r="AH51" s="122" t="s">
        <v>416</v>
      </c>
      <c r="AI51" s="122">
        <v>2034</v>
      </c>
      <c r="AJ51" s="122" t="str">
        <f t="shared" ref="AJ51:AL51" si="83">A11</f>
        <v>Road</v>
      </c>
      <c r="AK51" s="122" t="str">
        <f t="shared" si="83"/>
        <v>Liquid bulk</v>
      </c>
      <c r="AL51" s="122" t="str">
        <f t="shared" si="83"/>
        <v>Battery</v>
      </c>
      <c r="AM51" s="132">
        <f t="shared" si="71"/>
        <v>1</v>
      </c>
    </row>
    <row r="52" spans="1:39" x14ac:dyDescent="0.35">
      <c r="A52" s="122" t="s">
        <v>167</v>
      </c>
      <c r="B52" s="122" t="s">
        <v>220</v>
      </c>
      <c r="C52" s="122" t="s">
        <v>186</v>
      </c>
      <c r="D52" s="122" t="e">
        <f>FIGURES!F17</f>
        <v>#REF!</v>
      </c>
      <c r="E52" s="122">
        <v>3.9483224205403566E-2</v>
      </c>
      <c r="F52" s="122">
        <v>3.8324141861914254E-2</v>
      </c>
      <c r="G52" s="122">
        <v>4.2129683891405201E-2</v>
      </c>
      <c r="I52" s="131">
        <f t="shared" si="72"/>
        <v>1</v>
      </c>
      <c r="J52" s="131">
        <f t="shared" si="73"/>
        <v>0.97064367546430808</v>
      </c>
      <c r="K52" s="131">
        <f t="shared" si="74"/>
        <v>1.0670274461942104</v>
      </c>
      <c r="N52" s="122" t="e">
        <f>FIGURES!BI17</f>
        <v>#REF!</v>
      </c>
      <c r="O52" s="122">
        <v>2.7073941845428998E-2</v>
      </c>
      <c r="P52" s="122">
        <v>2.5426904200969786E-2</v>
      </c>
      <c r="Q52" s="122">
        <v>2.9430266740142881E-2</v>
      </c>
      <c r="S52" s="131">
        <f t="shared" si="75"/>
        <v>1</v>
      </c>
      <c r="T52" s="131">
        <f t="shared" si="76"/>
        <v>0.93916520712563734</v>
      </c>
      <c r="U52" s="131">
        <f t="shared" si="77"/>
        <v>1.0870329451162544</v>
      </c>
      <c r="W52" s="122" t="e">
        <f>FIGURES!DL17</f>
        <v>#REF!</v>
      </c>
      <c r="X52" s="122">
        <v>1.699467323046517E-2</v>
      </c>
      <c r="Y52" s="122">
        <v>1.5219270902673993E-2</v>
      </c>
      <c r="Z52" s="122">
        <v>1.86591129127694E-2</v>
      </c>
      <c r="AB52" s="131">
        <f t="shared" si="78"/>
        <v>1</v>
      </c>
      <c r="AC52" s="131">
        <f t="shared" si="79"/>
        <v>0.89553183496293787</v>
      </c>
      <c r="AD52" s="131">
        <f t="shared" si="80"/>
        <v>1.0979389047222459</v>
      </c>
      <c r="AG52" s="122" t="s">
        <v>102</v>
      </c>
      <c r="AH52" s="122" t="s">
        <v>416</v>
      </c>
      <c r="AI52" s="122">
        <v>2034</v>
      </c>
      <c r="AJ52" s="122" t="str">
        <f t="shared" ref="AJ52:AL52" si="84">A12</f>
        <v>Road</v>
      </c>
      <c r="AK52" s="122" t="str">
        <f t="shared" si="84"/>
        <v>Liquid bulk</v>
      </c>
      <c r="AL52" s="122" t="str">
        <f t="shared" si="84"/>
        <v>Hydrogen</v>
      </c>
      <c r="AM52" s="132">
        <f t="shared" si="71"/>
        <v>1</v>
      </c>
    </row>
    <row r="53" spans="1:39" x14ac:dyDescent="0.35">
      <c r="A53" s="122" t="s">
        <v>167</v>
      </c>
      <c r="B53" s="122" t="s">
        <v>222</v>
      </c>
      <c r="C53" s="122" t="s">
        <v>276</v>
      </c>
      <c r="D53" s="122" t="e">
        <f>FIGURES!G17</f>
        <v>#REF!</v>
      </c>
      <c r="E53" s="122">
        <v>8.6066774264767394E-3</v>
      </c>
      <c r="F53" s="122">
        <v>8.2399739101303247E-3</v>
      </c>
      <c r="G53" s="122">
        <v>8.7327317602208191E-3</v>
      </c>
      <c r="I53" s="131">
        <f t="shared" si="72"/>
        <v>1</v>
      </c>
      <c r="J53" s="131">
        <f t="shared" si="73"/>
        <v>0.95739313812106819</v>
      </c>
      <c r="K53" s="131">
        <f t="shared" si="74"/>
        <v>1.0146461087708827</v>
      </c>
      <c r="N53" s="122" t="e">
        <f>FIGURES!BJ17</f>
        <v>#REF!</v>
      </c>
      <c r="O53" s="122">
        <v>7.8467762974752837E-3</v>
      </c>
      <c r="P53" s="122">
        <v>6.6109631180516146E-3</v>
      </c>
      <c r="Q53" s="122">
        <v>8.3547485859500458E-3</v>
      </c>
      <c r="S53" s="131">
        <f t="shared" si="75"/>
        <v>1</v>
      </c>
      <c r="T53" s="131">
        <f t="shared" si="76"/>
        <v>0.84250689294898151</v>
      </c>
      <c r="U53" s="131">
        <f t="shared" si="77"/>
        <v>1.0647364305056337</v>
      </c>
      <c r="W53" s="122" t="e">
        <f>FIGURES!DM17</f>
        <v>#REF!</v>
      </c>
      <c r="X53" s="122">
        <v>7.3552963216974732E-3</v>
      </c>
      <c r="Y53" s="122">
        <v>6.1137040634253043E-3</v>
      </c>
      <c r="Z53" s="122">
        <v>8.1711998057048957E-3</v>
      </c>
      <c r="AB53" s="131">
        <f t="shared" si="78"/>
        <v>1</v>
      </c>
      <c r="AC53" s="131">
        <f t="shared" si="79"/>
        <v>0.83119752026718741</v>
      </c>
      <c r="AD53" s="131">
        <f t="shared" si="80"/>
        <v>1.1109273438244194</v>
      </c>
      <c r="AG53" s="122" t="s">
        <v>419</v>
      </c>
      <c r="AH53" s="122" t="s">
        <v>416</v>
      </c>
      <c r="AI53" s="122">
        <v>2034</v>
      </c>
      <c r="AJ53" s="122" t="str">
        <f t="shared" ref="AJ53:AL53" si="85">A13</f>
        <v>Road</v>
      </c>
      <c r="AK53" s="122" t="str">
        <f t="shared" si="85"/>
        <v>Container</v>
      </c>
      <c r="AL53" s="122" t="str">
        <f t="shared" si="85"/>
        <v>Diesel</v>
      </c>
      <c r="AM53" s="132">
        <f t="shared" si="71"/>
        <v>1</v>
      </c>
    </row>
    <row r="54" spans="1:39" x14ac:dyDescent="0.35">
      <c r="A54" s="122" t="s">
        <v>167</v>
      </c>
      <c r="B54" s="122" t="s">
        <v>222</v>
      </c>
      <c r="C54" s="122" t="s">
        <v>275</v>
      </c>
      <c r="D54" s="122" t="e">
        <f>FIGURES!H17</f>
        <v>#REF!</v>
      </c>
      <c r="E54" s="122">
        <v>1.2875560078180342E-2</v>
      </c>
      <c r="F54" s="122">
        <v>1.2057520951081122E-2</v>
      </c>
      <c r="G54" s="122">
        <v>1.3156761028120696E-2</v>
      </c>
      <c r="I54" s="131">
        <f t="shared" si="72"/>
        <v>1</v>
      </c>
      <c r="J54" s="131">
        <f t="shared" si="73"/>
        <v>0.93646574423698159</v>
      </c>
      <c r="K54" s="131">
        <f t="shared" si="74"/>
        <v>1.0218399004185375</v>
      </c>
      <c r="N54" s="122" t="e">
        <f>FIGURES!BK17</f>
        <v>#REF!</v>
      </c>
      <c r="O54" s="122">
        <v>1.1168777173517009E-2</v>
      </c>
      <c r="P54" s="122">
        <v>8.4119355030967055E-3</v>
      </c>
      <c r="Q54" s="122">
        <v>1.230195749203333E-2</v>
      </c>
      <c r="S54" s="131">
        <f t="shared" si="75"/>
        <v>1</v>
      </c>
      <c r="T54" s="131">
        <f t="shared" si="76"/>
        <v>0.75316530828842887</v>
      </c>
      <c r="U54" s="131">
        <f t="shared" si="77"/>
        <v>1.1014596585562899</v>
      </c>
      <c r="W54" s="122" t="e">
        <f>FIGURES!DN17</f>
        <v>#REF!</v>
      </c>
      <c r="X54" s="122">
        <v>9.9749671778379886E-3</v>
      </c>
      <c r="Y54" s="122">
        <v>7.205233586817187E-3</v>
      </c>
      <c r="Z54" s="122">
        <v>1.1795077823365946E-2</v>
      </c>
      <c r="AB54" s="131">
        <f t="shared" si="78"/>
        <v>1</v>
      </c>
      <c r="AC54" s="131">
        <f t="shared" si="79"/>
        <v>0.72233155842612773</v>
      </c>
      <c r="AD54" s="131">
        <f t="shared" si="80"/>
        <v>1.1824678330342591</v>
      </c>
      <c r="AG54" s="122" t="s">
        <v>86</v>
      </c>
      <c r="AH54" s="122" t="s">
        <v>416</v>
      </c>
      <c r="AI54" s="122">
        <v>2034</v>
      </c>
      <c r="AJ54" s="122" t="str">
        <f t="shared" ref="AJ54:AL54" si="86">A14</f>
        <v>Road</v>
      </c>
      <c r="AK54" s="122" t="str">
        <f t="shared" si="86"/>
        <v>Container</v>
      </c>
      <c r="AL54" s="122" t="str">
        <f t="shared" si="86"/>
        <v>Battery</v>
      </c>
      <c r="AM54" s="132">
        <f t="shared" si="71"/>
        <v>1</v>
      </c>
    </row>
    <row r="55" spans="1:39" x14ac:dyDescent="0.35">
      <c r="A55" s="122" t="s">
        <v>167</v>
      </c>
      <c r="B55" s="122" t="s">
        <v>222</v>
      </c>
      <c r="C55" s="122" t="s">
        <v>102</v>
      </c>
      <c r="D55" s="122" t="e">
        <f>FIGURES!I17</f>
        <v>#REF!</v>
      </c>
      <c r="E55" s="122">
        <v>2.7546698317471741E-2</v>
      </c>
      <c r="F55" s="122">
        <v>2.6511205721823139E-2</v>
      </c>
      <c r="G55" s="122">
        <v>2.9910973319097162E-2</v>
      </c>
      <c r="I55" s="131">
        <f t="shared" si="72"/>
        <v>1</v>
      </c>
      <c r="J55" s="131">
        <f t="shared" si="73"/>
        <v>0.96240955690171293</v>
      </c>
      <c r="K55" s="131">
        <f t="shared" si="74"/>
        <v>1.0858278903111178</v>
      </c>
      <c r="N55" s="122" t="e">
        <f>FIGURES!BL17</f>
        <v>#REF!</v>
      </c>
      <c r="O55" s="122">
        <v>2.4084175556206774E-2</v>
      </c>
      <c r="P55" s="122">
        <v>2.2621946538673263E-2</v>
      </c>
      <c r="Q55" s="122">
        <v>2.6176105056044334E-2</v>
      </c>
      <c r="S55" s="131">
        <f t="shared" si="75"/>
        <v>1</v>
      </c>
      <c r="T55" s="131">
        <f t="shared" si="76"/>
        <v>0.93928673148387354</v>
      </c>
      <c r="U55" s="131">
        <f t="shared" si="77"/>
        <v>1.0868590869949228</v>
      </c>
      <c r="W55" s="122" t="e">
        <f>FIGURES!DO17</f>
        <v>#REF!</v>
      </c>
      <c r="X55" s="122">
        <v>1.6229039938022057E-2</v>
      </c>
      <c r="Y55" s="122">
        <v>1.4739719905271268E-2</v>
      </c>
      <c r="Z55" s="122">
        <v>1.7625277468725924E-2</v>
      </c>
      <c r="AB55" s="131">
        <f t="shared" si="78"/>
        <v>1</v>
      </c>
      <c r="AC55" s="131">
        <f t="shared" si="79"/>
        <v>0.9082311684216422</v>
      </c>
      <c r="AD55" s="131">
        <f t="shared" si="80"/>
        <v>1.0860332796047107</v>
      </c>
      <c r="AG55" s="122" t="s">
        <v>102</v>
      </c>
      <c r="AH55" s="122" t="s">
        <v>416</v>
      </c>
      <c r="AI55" s="122">
        <v>2034</v>
      </c>
      <c r="AJ55" s="122" t="str">
        <f t="shared" ref="AJ55:AL55" si="87">A15</f>
        <v>Road</v>
      </c>
      <c r="AK55" s="122" t="str">
        <f t="shared" si="87"/>
        <v>Container</v>
      </c>
      <c r="AL55" s="122" t="str">
        <f t="shared" si="87"/>
        <v>Hydrogen</v>
      </c>
      <c r="AM55" s="132">
        <f t="shared" si="71"/>
        <v>1</v>
      </c>
    </row>
    <row r="56" spans="1:39" x14ac:dyDescent="0.35">
      <c r="A56" s="122" t="s">
        <v>167</v>
      </c>
      <c r="B56" s="122" t="s">
        <v>222</v>
      </c>
      <c r="C56" s="122" t="s">
        <v>185</v>
      </c>
      <c r="D56" s="122" t="e">
        <f>FIGURES!J17</f>
        <v>#REF!</v>
      </c>
      <c r="E56" s="122">
        <v>2.5070994787644955E-2</v>
      </c>
      <c r="F56" s="122">
        <v>2.3917537068712261E-2</v>
      </c>
      <c r="G56" s="122">
        <v>2.7704612122780282E-2</v>
      </c>
      <c r="I56" s="131">
        <f t="shared" si="72"/>
        <v>1</v>
      </c>
      <c r="J56" s="131">
        <f t="shared" si="73"/>
        <v>0.9539923433951204</v>
      </c>
      <c r="K56" s="131">
        <f t="shared" si="74"/>
        <v>1.1050463835776145</v>
      </c>
      <c r="N56" s="122" t="e">
        <f>FIGURES!BM17</f>
        <v>#REF!</v>
      </c>
      <c r="O56" s="122">
        <v>2.3319709455922558E-2</v>
      </c>
      <c r="P56" s="122">
        <v>2.168973667505382E-2</v>
      </c>
      <c r="Q56" s="122">
        <v>2.5651620602087057E-2</v>
      </c>
      <c r="S56" s="131">
        <f t="shared" si="75"/>
        <v>1</v>
      </c>
      <c r="T56" s="131">
        <f t="shared" si="76"/>
        <v>0.93010321230847193</v>
      </c>
      <c r="U56" s="131">
        <f t="shared" si="77"/>
        <v>1.0999974356701199</v>
      </c>
      <c r="W56" s="122" t="e">
        <f>FIGURES!DP17</f>
        <v>#REF!</v>
      </c>
      <c r="X56" s="122">
        <v>1.637253687147959E-2</v>
      </c>
      <c r="Y56" s="122">
        <v>1.470259821400554E-2</v>
      </c>
      <c r="Z56" s="122">
        <v>1.7938104362861515E-2</v>
      </c>
      <c r="AB56" s="131">
        <f t="shared" si="78"/>
        <v>1</v>
      </c>
      <c r="AC56" s="131">
        <f t="shared" si="79"/>
        <v>0.89800367098986189</v>
      </c>
      <c r="AD56" s="131">
        <f t="shared" si="80"/>
        <v>1.0956215584470046</v>
      </c>
      <c r="AG56" s="122" t="s">
        <v>419</v>
      </c>
      <c r="AH56" s="122" t="s">
        <v>416</v>
      </c>
      <c r="AI56" s="122">
        <v>2034</v>
      </c>
      <c r="AJ56" s="122" t="str">
        <f t="shared" ref="AJ56:AL56" si="88">A16</f>
        <v>Road</v>
      </c>
      <c r="AK56" s="122" t="str">
        <f t="shared" si="88"/>
        <v>Break bulk</v>
      </c>
      <c r="AL56" s="122" t="str">
        <f t="shared" si="88"/>
        <v>Diesel</v>
      </c>
      <c r="AM56" s="132">
        <f t="shared" si="71"/>
        <v>1</v>
      </c>
    </row>
    <row r="57" spans="1:39" x14ac:dyDescent="0.35">
      <c r="A57" s="122" t="s">
        <v>167</v>
      </c>
      <c r="B57" s="122" t="s">
        <v>222</v>
      </c>
      <c r="C57" s="122" t="s">
        <v>186</v>
      </c>
      <c r="D57" s="122" t="e">
        <f>FIGURES!K17</f>
        <v>#REF!</v>
      </c>
      <c r="E57" s="122">
        <v>4.727519526221427E-2</v>
      </c>
      <c r="F57" s="122">
        <v>4.5906411239604358E-2</v>
      </c>
      <c r="G57" s="122">
        <v>5.0400453579734043E-2</v>
      </c>
      <c r="I57" s="131">
        <f t="shared" si="72"/>
        <v>1</v>
      </c>
      <c r="J57" s="131">
        <f t="shared" si="73"/>
        <v>0.97104646495867697</v>
      </c>
      <c r="K57" s="131">
        <f t="shared" si="74"/>
        <v>1.0661077823197846</v>
      </c>
      <c r="N57" s="122" t="e">
        <f>FIGURES!BN17</f>
        <v>#REF!</v>
      </c>
      <c r="O57" s="122">
        <v>3.2620820168159648E-2</v>
      </c>
      <c r="P57" s="122">
        <v>3.0675799760389429E-2</v>
      </c>
      <c r="Q57" s="122">
        <v>3.5403452382410175E-2</v>
      </c>
      <c r="S57" s="131">
        <f t="shared" si="75"/>
        <v>1</v>
      </c>
      <c r="T57" s="131">
        <f t="shared" si="76"/>
        <v>0.94037487721817903</v>
      </c>
      <c r="U57" s="131">
        <f t="shared" si="77"/>
        <v>1.0853023375839761</v>
      </c>
      <c r="W57" s="122" t="e">
        <f>FIGURES!DQ17</f>
        <v>#REF!</v>
      </c>
      <c r="X57" s="122">
        <v>2.0718005914063236E-2</v>
      </c>
      <c r="Y57" s="122">
        <v>1.8621397028909064E-2</v>
      </c>
      <c r="Z57" s="122">
        <v>2.2683576743895276E-2</v>
      </c>
      <c r="AB57" s="131">
        <f t="shared" si="78"/>
        <v>1</v>
      </c>
      <c r="AC57" s="131">
        <f t="shared" si="79"/>
        <v>0.89880257328573265</v>
      </c>
      <c r="AD57" s="131">
        <f t="shared" si="80"/>
        <v>1.0948725875446259</v>
      </c>
      <c r="AG57" s="122" t="s">
        <v>86</v>
      </c>
      <c r="AH57" s="122" t="s">
        <v>416</v>
      </c>
      <c r="AI57" s="122">
        <v>2034</v>
      </c>
      <c r="AJ57" s="122" t="str">
        <f t="shared" ref="AJ57:AL57" si="89">A17</f>
        <v>Road</v>
      </c>
      <c r="AK57" s="122" t="str">
        <f t="shared" si="89"/>
        <v>Break bulk</v>
      </c>
      <c r="AL57" s="122" t="str">
        <f t="shared" si="89"/>
        <v>Battery</v>
      </c>
      <c r="AM57" s="132">
        <f t="shared" si="71"/>
        <v>1</v>
      </c>
    </row>
    <row r="58" spans="1:39" x14ac:dyDescent="0.35">
      <c r="A58" s="122" t="s">
        <v>167</v>
      </c>
      <c r="B58" s="122" t="s">
        <v>223</v>
      </c>
      <c r="C58" s="122" t="s">
        <v>276</v>
      </c>
      <c r="D58" s="122" t="e">
        <f>FIGURES!L17</f>
        <v>#REF!</v>
      </c>
      <c r="E58" s="122">
        <v>8.7897304253544608E-3</v>
      </c>
      <c r="F58" s="122">
        <v>8.3854162919468761E-3</v>
      </c>
      <c r="G58" s="122">
        <v>8.928713408713318E-3</v>
      </c>
      <c r="I58" s="131">
        <f t="shared" si="72"/>
        <v>1</v>
      </c>
      <c r="J58" s="131">
        <f t="shared" si="73"/>
        <v>0.95400153203318749</v>
      </c>
      <c r="K58" s="131">
        <f t="shared" si="74"/>
        <v>1.0158119733635917</v>
      </c>
      <c r="N58" s="122" t="e">
        <f>FIGURES!BO17</f>
        <v>#REF!</v>
      </c>
      <c r="O58" s="122">
        <v>7.9518907190195276E-3</v>
      </c>
      <c r="P58" s="122">
        <v>6.5893274699113762E-3</v>
      </c>
      <c r="Q58" s="122">
        <v>8.5119627293891338E-3</v>
      </c>
      <c r="S58" s="131">
        <f t="shared" si="75"/>
        <v>1</v>
      </c>
      <c r="T58" s="131">
        <f t="shared" si="76"/>
        <v>0.82864914807630097</v>
      </c>
      <c r="U58" s="131">
        <f t="shared" si="77"/>
        <v>1.0704325587661827</v>
      </c>
      <c r="W58" s="122" t="e">
        <f>FIGURES!DR17</f>
        <v>#REF!</v>
      </c>
      <c r="X58" s="122">
        <v>7.4100025405978345E-3</v>
      </c>
      <c r="Y58" s="122">
        <v>6.0410674866054441E-3</v>
      </c>
      <c r="Z58" s="122">
        <v>8.3095884332214046E-3</v>
      </c>
      <c r="AB58" s="131">
        <f t="shared" si="78"/>
        <v>1</v>
      </c>
      <c r="AC58" s="131">
        <f t="shared" si="79"/>
        <v>0.81525849060209021</v>
      </c>
      <c r="AD58" s="131">
        <f t="shared" si="80"/>
        <v>1.1214015633186263</v>
      </c>
      <c r="AG58" s="122" t="s">
        <v>102</v>
      </c>
      <c r="AH58" s="122" t="s">
        <v>416</v>
      </c>
      <c r="AI58" s="122">
        <v>2034</v>
      </c>
      <c r="AJ58" s="122" t="str">
        <f t="shared" ref="AJ58:AL58" si="90">A18</f>
        <v>Road</v>
      </c>
      <c r="AK58" s="122" t="str">
        <f t="shared" si="90"/>
        <v>Break bulk</v>
      </c>
      <c r="AL58" s="122" t="str">
        <f t="shared" si="90"/>
        <v>Hydrogen</v>
      </c>
      <c r="AM58" s="132">
        <f t="shared" si="71"/>
        <v>1</v>
      </c>
    </row>
    <row r="59" spans="1:39" x14ac:dyDescent="0.35">
      <c r="A59" s="122" t="s">
        <v>167</v>
      </c>
      <c r="B59" s="122" t="s">
        <v>223</v>
      </c>
      <c r="C59" s="122" t="s">
        <v>275</v>
      </c>
      <c r="D59" s="122" t="e">
        <f>FIGURES!M17</f>
        <v>#REF!</v>
      </c>
      <c r="E59" s="122">
        <v>1.3496447195181512E-2</v>
      </c>
      <c r="F59" s="122">
        <v>1.2594506619149039E-2</v>
      </c>
      <c r="G59" s="122">
        <v>1.3806489268192671E-2</v>
      </c>
      <c r="I59" s="131">
        <f t="shared" si="72"/>
        <v>1</v>
      </c>
      <c r="J59" s="131">
        <f t="shared" si="73"/>
        <v>0.93317199978713794</v>
      </c>
      <c r="K59" s="131">
        <f t="shared" si="74"/>
        <v>1.0229721250731711</v>
      </c>
      <c r="N59" s="122" t="e">
        <f>FIGURES!BP17</f>
        <v>#REF!</v>
      </c>
      <c r="O59" s="122">
        <v>1.1614609633629631E-2</v>
      </c>
      <c r="P59" s="122">
        <v>8.5750149713713468E-3</v>
      </c>
      <c r="Q59" s="122">
        <v>1.2864013574557883E-2</v>
      </c>
      <c r="S59" s="131">
        <f t="shared" si="75"/>
        <v>1</v>
      </c>
      <c r="T59" s="131">
        <f t="shared" si="76"/>
        <v>0.73829558132911666</v>
      </c>
      <c r="U59" s="131">
        <f t="shared" si="77"/>
        <v>1.1075717549137987</v>
      </c>
      <c r="W59" s="122" t="e">
        <f>FIGURES!DS17</f>
        <v>#REF!</v>
      </c>
      <c r="X59" s="122">
        <v>1.0298357587111739E-2</v>
      </c>
      <c r="Y59" s="122">
        <v>7.2445487559862371E-3</v>
      </c>
      <c r="Z59" s="122">
        <v>1.2305146247565638E-2</v>
      </c>
      <c r="AB59" s="131">
        <f t="shared" si="78"/>
        <v>1</v>
      </c>
      <c r="AC59" s="131">
        <f t="shared" si="79"/>
        <v>0.70346642119445302</v>
      </c>
      <c r="AD59" s="131">
        <f t="shared" si="80"/>
        <v>1.1948649232150734</v>
      </c>
      <c r="AG59" s="122" t="s">
        <v>419</v>
      </c>
      <c r="AH59" s="122" t="s">
        <v>416</v>
      </c>
      <c r="AI59" s="122">
        <v>2034</v>
      </c>
      <c r="AJ59" s="122" t="str">
        <f t="shared" ref="AJ59:AL59" si="91">A19</f>
        <v>Road</v>
      </c>
      <c r="AK59" s="122" t="str">
        <f t="shared" si="91"/>
        <v>Neo bulk</v>
      </c>
      <c r="AL59" s="122" t="str">
        <f t="shared" si="91"/>
        <v>Diesel</v>
      </c>
      <c r="AM59" s="132">
        <f t="shared" si="71"/>
        <v>1</v>
      </c>
    </row>
    <row r="60" spans="1:39" x14ac:dyDescent="0.35">
      <c r="A60" s="122" t="s">
        <v>167</v>
      </c>
      <c r="B60" s="122" t="s">
        <v>223</v>
      </c>
      <c r="C60" s="122" t="s">
        <v>102</v>
      </c>
      <c r="D60" s="122" t="e">
        <f>FIGURES!N17</f>
        <v>#REF!</v>
      </c>
      <c r="E60" s="122">
        <v>2.9458766332593509E-2</v>
      </c>
      <c r="F60" s="122">
        <v>2.8323426878648798E-2</v>
      </c>
      <c r="G60" s="122">
        <v>3.2051015374837219E-2</v>
      </c>
      <c r="I60" s="131">
        <f t="shared" si="72"/>
        <v>1</v>
      </c>
      <c r="J60" s="131">
        <f t="shared" si="73"/>
        <v>0.96146004754148318</v>
      </c>
      <c r="K60" s="131">
        <f t="shared" si="74"/>
        <v>1.0879958452087526</v>
      </c>
      <c r="N60" s="122" t="e">
        <f>FIGURES!BQ17</f>
        <v>#REF!</v>
      </c>
      <c r="O60" s="122">
        <v>2.5666625479707848E-2</v>
      </c>
      <c r="P60" s="122">
        <v>2.4063205941378039E-2</v>
      </c>
      <c r="Q60" s="122">
        <v>2.7960548382774002E-2</v>
      </c>
      <c r="S60" s="131">
        <f t="shared" si="75"/>
        <v>1</v>
      </c>
      <c r="T60" s="131">
        <f t="shared" si="76"/>
        <v>0.93752900864987176</v>
      </c>
      <c r="U60" s="131">
        <f t="shared" si="77"/>
        <v>1.0893737630168694</v>
      </c>
      <c r="W60" s="122" t="e">
        <f>FIGURES!DT17</f>
        <v>#REF!</v>
      </c>
      <c r="X60" s="122">
        <v>1.7079556011347096E-2</v>
      </c>
      <c r="Y60" s="122">
        <v>1.544476939442619E-2</v>
      </c>
      <c r="Z60" s="122">
        <v>1.8612168464710442E-2</v>
      </c>
      <c r="AB60" s="131">
        <f t="shared" si="78"/>
        <v>1</v>
      </c>
      <c r="AC60" s="131">
        <f t="shared" si="79"/>
        <v>0.90428400973451495</v>
      </c>
      <c r="AD60" s="131">
        <f t="shared" si="80"/>
        <v>1.0897337408738921</v>
      </c>
      <c r="AG60" s="122" t="s">
        <v>86</v>
      </c>
      <c r="AH60" s="122" t="s">
        <v>416</v>
      </c>
      <c r="AI60" s="122">
        <v>2034</v>
      </c>
      <c r="AJ60" s="122" t="str">
        <f t="shared" ref="AJ60:AL60" si="92">A20</f>
        <v>Road</v>
      </c>
      <c r="AK60" s="122" t="str">
        <f t="shared" si="92"/>
        <v>Neo bulk</v>
      </c>
      <c r="AL60" s="122" t="str">
        <f t="shared" si="92"/>
        <v>Battery</v>
      </c>
      <c r="AM60" s="132">
        <f t="shared" si="71"/>
        <v>1</v>
      </c>
    </row>
    <row r="61" spans="1:39" x14ac:dyDescent="0.35">
      <c r="A61" s="122" t="s">
        <v>167</v>
      </c>
      <c r="B61" s="122" t="s">
        <v>223</v>
      </c>
      <c r="C61" s="122" t="s">
        <v>185</v>
      </c>
      <c r="D61" s="122" t="e">
        <f>FIGURES!O17</f>
        <v>#REF!</v>
      </c>
      <c r="E61" s="122">
        <v>2.6785842871702544E-2</v>
      </c>
      <c r="F61" s="122">
        <v>2.5519698139779973E-2</v>
      </c>
      <c r="G61" s="122">
        <v>2.9676751363664457E-2</v>
      </c>
      <c r="I61" s="131">
        <f t="shared" si="72"/>
        <v>1</v>
      </c>
      <c r="J61" s="131">
        <f t="shared" si="73"/>
        <v>0.95273082359263117</v>
      </c>
      <c r="K61" s="131">
        <f t="shared" si="74"/>
        <v>1.1079267322595985</v>
      </c>
      <c r="N61" s="122" t="e">
        <f>FIGURES!BR17</f>
        <v>#REF!</v>
      </c>
      <c r="O61" s="122">
        <v>2.4865493446802132E-2</v>
      </c>
      <c r="P61" s="122">
        <v>2.307617325808773E-2</v>
      </c>
      <c r="Q61" s="122">
        <v>2.7425374041799809E-2</v>
      </c>
      <c r="S61" s="131">
        <f t="shared" si="75"/>
        <v>1</v>
      </c>
      <c r="T61" s="131">
        <f t="shared" si="76"/>
        <v>0.92804002894442783</v>
      </c>
      <c r="U61" s="131">
        <f t="shared" si="77"/>
        <v>1.1029491170353949</v>
      </c>
      <c r="W61" s="122" t="e">
        <f>FIGURES!DU17</f>
        <v>#REF!</v>
      </c>
      <c r="X61" s="122">
        <v>1.7252264483677938E-2</v>
      </c>
      <c r="Y61" s="122">
        <v>1.5418152459713414E-2</v>
      </c>
      <c r="Z61" s="122">
        <v>1.897174450614468E-2</v>
      </c>
      <c r="AB61" s="131">
        <f t="shared" si="78"/>
        <v>1</v>
      </c>
      <c r="AC61" s="131">
        <f t="shared" si="79"/>
        <v>0.89368862124159154</v>
      </c>
      <c r="AD61" s="131">
        <f t="shared" si="80"/>
        <v>1.0996669175860081</v>
      </c>
      <c r="AG61" s="122" t="s">
        <v>102</v>
      </c>
      <c r="AH61" s="122" t="s">
        <v>416</v>
      </c>
      <c r="AI61" s="122">
        <v>2034</v>
      </c>
      <c r="AJ61" s="122" t="str">
        <f t="shared" ref="AJ61:AL61" si="93">A21</f>
        <v>Road</v>
      </c>
      <c r="AK61" s="122" t="str">
        <f t="shared" si="93"/>
        <v>Neo bulk</v>
      </c>
      <c r="AL61" s="122" t="str">
        <f t="shared" si="93"/>
        <v>Hydrogen</v>
      </c>
      <c r="AM61" s="132">
        <f t="shared" si="71"/>
        <v>1</v>
      </c>
    </row>
    <row r="62" spans="1:39" x14ac:dyDescent="0.35">
      <c r="A62" s="122" t="s">
        <v>167</v>
      </c>
      <c r="B62" s="122" t="s">
        <v>223</v>
      </c>
      <c r="C62" s="122" t="s">
        <v>186</v>
      </c>
      <c r="D62" s="122" t="e">
        <f>FIGURES!P17</f>
        <v>#REF!</v>
      </c>
      <c r="E62" s="122">
        <v>5.1294447763546691E-2</v>
      </c>
      <c r="F62" s="122">
        <v>4.9788551104588685E-2</v>
      </c>
      <c r="G62" s="122">
        <v>5.47327667247514E-2</v>
      </c>
      <c r="I62" s="131">
        <f t="shared" si="72"/>
        <v>1</v>
      </c>
      <c r="J62" s="131">
        <f t="shared" si="73"/>
        <v>0.97064211187339855</v>
      </c>
      <c r="K62" s="131">
        <f t="shared" si="74"/>
        <v>1.0670310162428187</v>
      </c>
      <c r="N62" s="122" t="e">
        <f>FIGURES!BS17</f>
        <v>#REF!</v>
      </c>
      <c r="O62" s="122">
        <v>3.5172127420285873E-2</v>
      </c>
      <c r="P62" s="122">
        <v>3.3032272128812309E-2</v>
      </c>
      <c r="Q62" s="122">
        <v>3.823349903577189E-2</v>
      </c>
      <c r="S62" s="131">
        <f t="shared" si="75"/>
        <v>1</v>
      </c>
      <c r="T62" s="131">
        <f t="shared" si="76"/>
        <v>0.93916048165345323</v>
      </c>
      <c r="U62" s="131">
        <f t="shared" si="77"/>
        <v>1.0870397055857457</v>
      </c>
      <c r="W62" s="122" t="e">
        <f>FIGURES!DV17</f>
        <v>#REF!</v>
      </c>
      <c r="X62" s="122">
        <v>2.20769948636797E-2</v>
      </c>
      <c r="Y62" s="122">
        <v>1.9770366306403567E-2</v>
      </c>
      <c r="Z62" s="122">
        <v>2.4239459136126077E-2</v>
      </c>
      <c r="AB62" s="131">
        <f t="shared" si="78"/>
        <v>1</v>
      </c>
      <c r="AC62" s="131">
        <f t="shared" si="79"/>
        <v>0.89551890682952884</v>
      </c>
      <c r="AD62" s="131">
        <f t="shared" si="80"/>
        <v>1.0979510248473168</v>
      </c>
      <c r="AG62" s="122" t="s">
        <v>419</v>
      </c>
      <c r="AH62" s="122" t="s">
        <v>417</v>
      </c>
      <c r="AI62" s="122">
        <v>2034</v>
      </c>
      <c r="AJ62" s="122" t="str">
        <f>A7</f>
        <v>Road</v>
      </c>
      <c r="AK62" s="122" t="str">
        <f>B7</f>
        <v>Dry bulk</v>
      </c>
      <c r="AL62" s="122" t="str">
        <f>C7</f>
        <v>Diesel</v>
      </c>
      <c r="AM62" s="132">
        <f>S7</f>
        <v>0.97208023823636724</v>
      </c>
    </row>
    <row r="63" spans="1:39" x14ac:dyDescent="0.35">
      <c r="A63" s="122" t="s">
        <v>167</v>
      </c>
      <c r="B63" s="122" t="s">
        <v>224</v>
      </c>
      <c r="C63" s="122" t="s">
        <v>276</v>
      </c>
      <c r="D63" s="122" t="e">
        <f>FIGURES!Q17</f>
        <v>#REF!</v>
      </c>
      <c r="E63" s="122">
        <v>6.7183123018988286E-3</v>
      </c>
      <c r="F63" s="122">
        <v>6.4091309057636167E-3</v>
      </c>
      <c r="G63" s="122">
        <v>6.8245934068203087E-3</v>
      </c>
      <c r="I63" s="131">
        <f>E63/E63</f>
        <v>1</v>
      </c>
      <c r="J63" s="131">
        <f>F63/E63</f>
        <v>0.95397930577775814</v>
      </c>
      <c r="K63" s="131">
        <f>G63/E63</f>
        <v>1.0158196136388957</v>
      </c>
      <c r="N63" s="122" t="e">
        <f>FIGURES!BT17</f>
        <v>#REF!</v>
      </c>
      <c r="O63" s="122">
        <v>6.0776113499956437E-3</v>
      </c>
      <c r="P63" s="122">
        <v>5.035651218324705E-3</v>
      </c>
      <c r="Q63" s="122">
        <v>6.505901710866519E-3</v>
      </c>
      <c r="S63" s="131">
        <f>O63/O63</f>
        <v>1</v>
      </c>
      <c r="T63" s="131">
        <f>P63/O63</f>
        <v>0.82855762376584252</v>
      </c>
      <c r="U63" s="131">
        <f>Q63/O63</f>
        <v>1.0704701791882731</v>
      </c>
      <c r="W63" s="122" t="e">
        <f>FIGURES!DW17</f>
        <v>#REF!</v>
      </c>
      <c r="X63" s="122">
        <v>5.6632262723790554E-3</v>
      </c>
      <c r="Y63" s="122">
        <v>4.6163935840319338E-3</v>
      </c>
      <c r="Z63" s="122">
        <v>6.3511448961500218E-3</v>
      </c>
      <c r="AB63" s="131">
        <f>X63/X63</f>
        <v>1</v>
      </c>
      <c r="AC63" s="131">
        <f>Y63/X63</f>
        <v>0.81515259359266967</v>
      </c>
      <c r="AD63" s="131">
        <f>Z63/X63</f>
        <v>1.1214711527819601</v>
      </c>
      <c r="AG63" s="122" t="s">
        <v>86</v>
      </c>
      <c r="AH63" s="122" t="s">
        <v>417</v>
      </c>
      <c r="AI63" s="122">
        <v>2034</v>
      </c>
      <c r="AJ63" s="122" t="str">
        <f t="shared" ref="AJ63:AL63" si="94">A8</f>
        <v>Road</v>
      </c>
      <c r="AK63" s="122" t="str">
        <f t="shared" si="94"/>
        <v>Dry bulk</v>
      </c>
      <c r="AL63" s="122" t="str">
        <f t="shared" si="94"/>
        <v>Battery</v>
      </c>
      <c r="AM63" s="132">
        <f t="shared" ref="AM63:AM76" si="95">S8</f>
        <v>1</v>
      </c>
    </row>
    <row r="64" spans="1:39" x14ac:dyDescent="0.35">
      <c r="A64" s="122" t="s">
        <v>167</v>
      </c>
      <c r="B64" s="122" t="s">
        <v>224</v>
      </c>
      <c r="C64" s="122" t="s">
        <v>275</v>
      </c>
      <c r="D64" s="122" t="e">
        <f>FIGURES!R17</f>
        <v>#REF!</v>
      </c>
      <c r="E64" s="122">
        <v>1.0317566302354808E-2</v>
      </c>
      <c r="F64" s="122">
        <v>9.6278470383299765E-3</v>
      </c>
      <c r="G64" s="122">
        <v>1.0554657299363342E-2</v>
      </c>
      <c r="I64" s="131">
        <f t="shared" ref="I64:I67" si="96">E64/E64</f>
        <v>1</v>
      </c>
      <c r="J64" s="131">
        <f t="shared" ref="J64:J67" si="97">F64/E64</f>
        <v>0.93315097341633613</v>
      </c>
      <c r="K64" s="131">
        <f t="shared" ref="K64:K67" si="98">G64/E64</f>
        <v>1.0229793528881344</v>
      </c>
      <c r="N64" s="122" t="e">
        <f>FIGURES!BU17</f>
        <v>#REF!</v>
      </c>
      <c r="O64" s="122">
        <v>8.8785140494033708E-3</v>
      </c>
      <c r="P64" s="122">
        <v>6.5541181312058598E-3</v>
      </c>
      <c r="Q64" s="122">
        <v>9.8339405924661501E-3</v>
      </c>
      <c r="S64" s="131">
        <f t="shared" ref="S64:S67" si="99">O64/O64</f>
        <v>1</v>
      </c>
      <c r="T64" s="131">
        <f t="shared" ref="T64:T67" si="100">P64/O64</f>
        <v>0.73819989411925202</v>
      </c>
      <c r="U64" s="131">
        <f t="shared" ref="U64:U67" si="101">Q64/O64</f>
        <v>1.1076110864663196</v>
      </c>
      <c r="W64" s="122" t="e">
        <f>FIGURES!DX17</f>
        <v>#REF!</v>
      </c>
      <c r="X64" s="122">
        <v>7.8719683667720398E-3</v>
      </c>
      <c r="Y64" s="122">
        <v>5.5367027900290119E-3</v>
      </c>
      <c r="Z64" s="122">
        <v>9.406571460060317E-3</v>
      </c>
      <c r="AB64" s="131">
        <f t="shared" ref="AB64:AB67" si="102">X64/X64</f>
        <v>1</v>
      </c>
      <c r="AC64" s="131">
        <f t="shared" ref="AC64:AC67" si="103">Y64/X64</f>
        <v>0.70334413606128077</v>
      </c>
      <c r="AD64" s="131">
        <f t="shared" ref="AD64:AD67" si="104">Z64/X64</f>
        <v>1.1949452820168729</v>
      </c>
      <c r="AG64" s="122" t="s">
        <v>102</v>
      </c>
      <c r="AH64" s="122" t="s">
        <v>417</v>
      </c>
      <c r="AI64" s="122">
        <v>2034</v>
      </c>
      <c r="AJ64" s="122" t="str">
        <f t="shared" ref="AJ64:AL64" si="105">A9</f>
        <v>Road</v>
      </c>
      <c r="AK64" s="122" t="str">
        <f t="shared" si="105"/>
        <v>Dry bulk</v>
      </c>
      <c r="AL64" s="122" t="str">
        <f t="shared" si="105"/>
        <v>Hydrogen</v>
      </c>
      <c r="AM64" s="132">
        <f t="shared" si="95"/>
        <v>0.99038158734414561</v>
      </c>
    </row>
    <row r="65" spans="1:39" x14ac:dyDescent="0.35">
      <c r="A65" s="122" t="s">
        <v>167</v>
      </c>
      <c r="B65" s="122" t="s">
        <v>224</v>
      </c>
      <c r="C65" s="122" t="s">
        <v>102</v>
      </c>
      <c r="D65" s="122" t="e">
        <f>FIGURES!S17</f>
        <v>#REF!</v>
      </c>
      <c r="E65" s="122">
        <v>2.2902658139478661E-2</v>
      </c>
      <c r="F65" s="122">
        <v>2.2019872503577051E-2</v>
      </c>
      <c r="G65" s="122">
        <v>2.4918266961334933E-2</v>
      </c>
      <c r="I65" s="131">
        <f t="shared" si="96"/>
        <v>1</v>
      </c>
      <c r="J65" s="131">
        <f t="shared" si="97"/>
        <v>0.96145488307403493</v>
      </c>
      <c r="K65" s="131">
        <f t="shared" si="98"/>
        <v>1.0880076369118854</v>
      </c>
      <c r="N65" s="122" t="e">
        <f>FIGURES!BV17</f>
        <v>#REF!</v>
      </c>
      <c r="O65" s="122">
        <v>1.9946835791258326E-2</v>
      </c>
      <c r="P65" s="122">
        <v>1.8700545217295608E-2</v>
      </c>
      <c r="Q65" s="122">
        <v>2.1729834203805101E-2</v>
      </c>
      <c r="S65" s="131">
        <f t="shared" si="99"/>
        <v>1</v>
      </c>
      <c r="T65" s="131">
        <f t="shared" si="100"/>
        <v>0.93751938467810003</v>
      </c>
      <c r="U65" s="131">
        <f t="shared" si="101"/>
        <v>1.089387531496508</v>
      </c>
      <c r="W65" s="122" t="e">
        <f>FIGURES!DY17</f>
        <v>#REF!</v>
      </c>
      <c r="X65" s="122">
        <v>1.3232318903932011E-2</v>
      </c>
      <c r="Y65" s="122">
        <v>1.1965477176382569E-2</v>
      </c>
      <c r="Z65" s="122">
        <v>1.4419983023509615E-2</v>
      </c>
      <c r="AB65" s="131">
        <f t="shared" si="102"/>
        <v>1</v>
      </c>
      <c r="AC65" s="131">
        <f t="shared" si="103"/>
        <v>0.90426154805164216</v>
      </c>
      <c r="AD65" s="131">
        <f t="shared" si="104"/>
        <v>1.0897547987015856</v>
      </c>
      <c r="AG65" s="122" t="s">
        <v>419</v>
      </c>
      <c r="AH65" s="122" t="s">
        <v>417</v>
      </c>
      <c r="AI65" s="122">
        <v>2034</v>
      </c>
      <c r="AJ65" s="122" t="str">
        <f t="shared" ref="AJ65:AL65" si="106">A10</f>
        <v>Road</v>
      </c>
      <c r="AK65" s="122" t="str">
        <f t="shared" si="106"/>
        <v>Liquid bulk</v>
      </c>
      <c r="AL65" s="122" t="str">
        <f t="shared" si="106"/>
        <v>Diesel</v>
      </c>
      <c r="AM65" s="132">
        <f t="shared" si="95"/>
        <v>0.95054215504160899</v>
      </c>
    </row>
    <row r="66" spans="1:39" x14ac:dyDescent="0.35">
      <c r="A66" s="122" t="s">
        <v>167</v>
      </c>
      <c r="B66" s="122" t="s">
        <v>224</v>
      </c>
      <c r="C66" s="122" t="s">
        <v>185</v>
      </c>
      <c r="D66" s="122" t="e">
        <f>FIGURES!T17</f>
        <v>#REF!</v>
      </c>
      <c r="E66" s="122">
        <v>2.0752764032990718E-2</v>
      </c>
      <c r="F66" s="122">
        <v>1.9771651157454294E-2</v>
      </c>
      <c r="G66" s="122">
        <v>2.2992877245920678E-2</v>
      </c>
      <c r="I66" s="131">
        <f t="shared" si="96"/>
        <v>1</v>
      </c>
      <c r="J66" s="131">
        <f t="shared" si="97"/>
        <v>0.95272374928097547</v>
      </c>
      <c r="K66" s="131">
        <f t="shared" si="98"/>
        <v>1.107942884589679</v>
      </c>
      <c r="N66" s="122" t="e">
        <f>FIGURES!BW17</f>
        <v>#REF!</v>
      </c>
      <c r="O66" s="122">
        <v>1.9261282702587999E-2</v>
      </c>
      <c r="P66" s="122">
        <v>1.7875017721953809E-2</v>
      </c>
      <c r="Q66" s="122">
        <v>2.1244534691713526E-2</v>
      </c>
      <c r="S66" s="131">
        <f t="shared" si="99"/>
        <v>1</v>
      </c>
      <c r="T66" s="131">
        <f t="shared" si="100"/>
        <v>0.928028418354094</v>
      </c>
      <c r="U66" s="131">
        <f t="shared" si="101"/>
        <v>1.1029657276594071</v>
      </c>
      <c r="W66" s="122" t="e">
        <f>FIGURES!DZ17</f>
        <v>#REF!</v>
      </c>
      <c r="X66" s="122">
        <v>1.3343048615322588E-2</v>
      </c>
      <c r="Y66" s="122">
        <v>1.1924198636010437E-2</v>
      </c>
      <c r="Z66" s="122">
        <v>1.4673220470927728E-2</v>
      </c>
      <c r="AB66" s="131">
        <f t="shared" si="102"/>
        <v>1</v>
      </c>
      <c r="AC66" s="131">
        <f t="shared" si="103"/>
        <v>0.89366373306301206</v>
      </c>
      <c r="AD66" s="131">
        <f t="shared" si="104"/>
        <v>1.0996902502534263</v>
      </c>
      <c r="AG66" s="122" t="s">
        <v>86</v>
      </c>
      <c r="AH66" s="122" t="s">
        <v>417</v>
      </c>
      <c r="AI66" s="122">
        <v>2034</v>
      </c>
      <c r="AJ66" s="122" t="str">
        <f t="shared" ref="AJ66:AL66" si="107">A11</f>
        <v>Road</v>
      </c>
      <c r="AK66" s="122" t="str">
        <f t="shared" si="107"/>
        <v>Liquid bulk</v>
      </c>
      <c r="AL66" s="122" t="str">
        <f t="shared" si="107"/>
        <v>Battery</v>
      </c>
      <c r="AM66" s="132">
        <f t="shared" si="95"/>
        <v>0.99186435407410223</v>
      </c>
    </row>
    <row r="67" spans="1:39" x14ac:dyDescent="0.35">
      <c r="A67" s="122" t="s">
        <v>167</v>
      </c>
      <c r="B67" s="122" t="s">
        <v>224</v>
      </c>
      <c r="C67" s="122" t="s">
        <v>186</v>
      </c>
      <c r="D67" s="122" t="e">
        <f>FIGURES!U17</f>
        <v>#REF!</v>
      </c>
      <c r="E67" s="122">
        <v>3.947794392793505E-2</v>
      </c>
      <c r="F67" s="122">
        <v>3.8318861584445738E-2</v>
      </c>
      <c r="G67" s="122">
        <v>4.2124403613936684E-2</v>
      </c>
      <c r="I67" s="131">
        <f t="shared" si="96"/>
        <v>1</v>
      </c>
      <c r="J67" s="131">
        <f t="shared" si="97"/>
        <v>0.97063974897970484</v>
      </c>
      <c r="K67" s="131">
        <f t="shared" si="98"/>
        <v>1.067036411289114</v>
      </c>
      <c r="N67" s="122" t="e">
        <f>FIGURES!BX17</f>
        <v>#REF!</v>
      </c>
      <c r="O67" s="122">
        <v>2.7068661567960485E-2</v>
      </c>
      <c r="P67" s="122">
        <v>2.5421623923501273E-2</v>
      </c>
      <c r="Q67" s="122">
        <v>2.9424986462674364E-2</v>
      </c>
      <c r="S67" s="131">
        <f t="shared" si="99"/>
        <v>1</v>
      </c>
      <c r="T67" s="131">
        <f t="shared" si="100"/>
        <v>0.93915334009684803</v>
      </c>
      <c r="U67" s="131">
        <f t="shared" si="101"/>
        <v>1.0870499226124619</v>
      </c>
      <c r="W67" s="122" t="e">
        <f>FIGURES!EA17</f>
        <v>#REF!</v>
      </c>
      <c r="X67" s="122">
        <v>1.6989392952996653E-2</v>
      </c>
      <c r="Y67" s="122">
        <v>1.5213990625205476E-2</v>
      </c>
      <c r="Z67" s="122">
        <v>1.8653832635300887E-2</v>
      </c>
      <c r="AB67" s="131">
        <f t="shared" si="102"/>
        <v>1</v>
      </c>
      <c r="AC67" s="131">
        <f t="shared" si="103"/>
        <v>0.89549936641626593</v>
      </c>
      <c r="AD67" s="131">
        <f t="shared" si="104"/>
        <v>1.0979693439847511</v>
      </c>
      <c r="AG67" s="122" t="s">
        <v>102</v>
      </c>
      <c r="AH67" s="122" t="s">
        <v>417</v>
      </c>
      <c r="AI67" s="122">
        <v>2034</v>
      </c>
      <c r="AJ67" s="122" t="str">
        <f t="shared" ref="AJ67:AL67" si="108">A12</f>
        <v>Road</v>
      </c>
      <c r="AK67" s="122" t="str">
        <f t="shared" si="108"/>
        <v>Liquid bulk</v>
      </c>
      <c r="AL67" s="122" t="str">
        <f t="shared" si="108"/>
        <v>Hydrogen</v>
      </c>
      <c r="AM67" s="132">
        <f t="shared" si="95"/>
        <v>0.98355364230582498</v>
      </c>
    </row>
    <row r="68" spans="1:39" x14ac:dyDescent="0.35">
      <c r="AG68" s="122" t="s">
        <v>419</v>
      </c>
      <c r="AH68" s="122" t="s">
        <v>417</v>
      </c>
      <c r="AI68" s="122">
        <v>2034</v>
      </c>
      <c r="AJ68" s="122" t="str">
        <f t="shared" ref="AJ68:AL68" si="109">A13</f>
        <v>Road</v>
      </c>
      <c r="AK68" s="122" t="str">
        <f t="shared" si="109"/>
        <v>Container</v>
      </c>
      <c r="AL68" s="122" t="str">
        <f t="shared" si="109"/>
        <v>Diesel</v>
      </c>
      <c r="AM68" s="132">
        <f t="shared" si="95"/>
        <v>0.95103655431755652</v>
      </c>
    </row>
    <row r="69" spans="1:39" x14ac:dyDescent="0.35">
      <c r="AG69" s="122" t="s">
        <v>86</v>
      </c>
      <c r="AH69" s="122" t="s">
        <v>417</v>
      </c>
      <c r="AI69" s="122">
        <v>2034</v>
      </c>
      <c r="AJ69" s="122" t="str">
        <f t="shared" ref="AJ69:AL69" si="110">A14</f>
        <v>Road</v>
      </c>
      <c r="AK69" s="122" t="str">
        <f t="shared" si="110"/>
        <v>Container</v>
      </c>
      <c r="AL69" s="122" t="str">
        <f t="shared" si="110"/>
        <v>Battery</v>
      </c>
      <c r="AM69" s="132">
        <f t="shared" si="95"/>
        <v>0.99195669374895978</v>
      </c>
    </row>
    <row r="70" spans="1:39" x14ac:dyDescent="0.35">
      <c r="AG70" s="122" t="s">
        <v>102</v>
      </c>
      <c r="AH70" s="122" t="s">
        <v>417</v>
      </c>
      <c r="AI70" s="122">
        <v>2034</v>
      </c>
      <c r="AJ70" s="122" t="str">
        <f t="shared" ref="AJ70:AL70" si="111">A15</f>
        <v>Road</v>
      </c>
      <c r="AK70" s="122" t="str">
        <f t="shared" si="111"/>
        <v>Container</v>
      </c>
      <c r="AL70" s="122" t="str">
        <f t="shared" si="111"/>
        <v>Hydrogen</v>
      </c>
      <c r="AM70" s="132">
        <f t="shared" si="95"/>
        <v>0.98374999839971577</v>
      </c>
    </row>
    <row r="71" spans="1:39" x14ac:dyDescent="0.35">
      <c r="AG71" s="122" t="s">
        <v>419</v>
      </c>
      <c r="AH71" s="122" t="s">
        <v>417</v>
      </c>
      <c r="AI71" s="122">
        <v>2034</v>
      </c>
      <c r="AJ71" s="122" t="str">
        <f t="shared" ref="AJ71:AL71" si="112">A16</f>
        <v>Road</v>
      </c>
      <c r="AK71" s="122" t="str">
        <f t="shared" si="112"/>
        <v>Break bulk</v>
      </c>
      <c r="AL71" s="122" t="str">
        <f t="shared" si="112"/>
        <v>Diesel</v>
      </c>
      <c r="AM71" s="132">
        <f t="shared" si="95"/>
        <v>0.96210672359626503</v>
      </c>
    </row>
    <row r="72" spans="1:39" x14ac:dyDescent="0.35">
      <c r="AG72" s="122" t="s">
        <v>86</v>
      </c>
      <c r="AH72" s="122" t="s">
        <v>417</v>
      </c>
      <c r="AI72" s="122">
        <v>2034</v>
      </c>
      <c r="AJ72" s="122" t="str">
        <f t="shared" ref="AJ72:AL72" si="113">A17</f>
        <v>Road</v>
      </c>
      <c r="AK72" s="122" t="str">
        <f t="shared" si="113"/>
        <v>Break bulk</v>
      </c>
      <c r="AL72" s="122" t="str">
        <f t="shared" si="113"/>
        <v>Battery</v>
      </c>
      <c r="AM72" s="132">
        <f t="shared" si="95"/>
        <v>0.9938166203526887</v>
      </c>
    </row>
    <row r="73" spans="1:39" x14ac:dyDescent="0.35">
      <c r="AG73" s="122" t="s">
        <v>102</v>
      </c>
      <c r="AH73" s="122" t="s">
        <v>417</v>
      </c>
      <c r="AI73" s="122">
        <v>2034</v>
      </c>
      <c r="AJ73" s="122" t="str">
        <f t="shared" ref="AJ73:AL73" si="114">A18</f>
        <v>Road</v>
      </c>
      <c r="AK73" s="122" t="str">
        <f t="shared" si="114"/>
        <v>Break bulk</v>
      </c>
      <c r="AL73" s="122" t="str">
        <f t="shared" si="114"/>
        <v>Hydrogen</v>
      </c>
      <c r="AM73" s="132">
        <f t="shared" si="95"/>
        <v>0.98717183517906304</v>
      </c>
    </row>
    <row r="74" spans="1:39" x14ac:dyDescent="0.35">
      <c r="AG74" s="122" t="s">
        <v>419</v>
      </c>
      <c r="AH74" s="122" t="s">
        <v>417</v>
      </c>
      <c r="AI74" s="122">
        <v>2034</v>
      </c>
      <c r="AJ74" s="122" t="str">
        <f t="shared" ref="AJ74:AL74" si="115">A19</f>
        <v>Road</v>
      </c>
      <c r="AK74" s="122" t="str">
        <f t="shared" si="115"/>
        <v>Neo bulk</v>
      </c>
      <c r="AL74" s="122" t="str">
        <f t="shared" si="115"/>
        <v>Diesel</v>
      </c>
      <c r="AM74" s="132">
        <f t="shared" si="95"/>
        <v>0.95703023253970709</v>
      </c>
    </row>
    <row r="75" spans="1:39" x14ac:dyDescent="0.35">
      <c r="AG75" s="122" t="s">
        <v>86</v>
      </c>
      <c r="AH75" s="122" t="s">
        <v>417</v>
      </c>
      <c r="AI75" s="122">
        <v>2034</v>
      </c>
      <c r="AJ75" s="122" t="str">
        <f t="shared" ref="AJ75:AL75" si="116">A20</f>
        <v>Road</v>
      </c>
      <c r="AK75" s="122" t="str">
        <f t="shared" si="116"/>
        <v>Neo bulk</v>
      </c>
      <c r="AL75" s="122" t="str">
        <f t="shared" si="116"/>
        <v>Battery</v>
      </c>
      <c r="AM75" s="132">
        <f t="shared" si="95"/>
        <v>0.99296745756134686</v>
      </c>
    </row>
    <row r="76" spans="1:39" x14ac:dyDescent="0.35">
      <c r="AG76" s="122" t="s">
        <v>102</v>
      </c>
      <c r="AH76" s="122" t="s">
        <v>417</v>
      </c>
      <c r="AI76" s="122">
        <v>2034</v>
      </c>
      <c r="AJ76" s="122" t="str">
        <f t="shared" ref="AJ76:AL76" si="117">A21</f>
        <v>Road</v>
      </c>
      <c r="AK76" s="122" t="str">
        <f t="shared" si="117"/>
        <v>Neo bulk</v>
      </c>
      <c r="AL76" s="122" t="str">
        <f t="shared" si="117"/>
        <v>Hydrogen</v>
      </c>
      <c r="AM76" s="132">
        <f t="shared" si="95"/>
        <v>0.98558760435341541</v>
      </c>
    </row>
    <row r="77" spans="1:39" x14ac:dyDescent="0.35">
      <c r="AG77" s="122" t="s">
        <v>419</v>
      </c>
      <c r="AH77" s="122" t="s">
        <v>418</v>
      </c>
      <c r="AI77" s="122">
        <v>2034</v>
      </c>
      <c r="AJ77" s="122" t="str">
        <f>A7</f>
        <v>Road</v>
      </c>
      <c r="AK77" s="122" t="str">
        <f>B7</f>
        <v>Dry bulk</v>
      </c>
      <c r="AL77" s="122" t="str">
        <f>C7</f>
        <v>Diesel</v>
      </c>
      <c r="AM77" s="132">
        <f>T7</f>
        <v>1.0114762210930268</v>
      </c>
    </row>
    <row r="78" spans="1:39" x14ac:dyDescent="0.35">
      <c r="AG78" s="122" t="s">
        <v>86</v>
      </c>
      <c r="AH78" s="122" t="s">
        <v>418</v>
      </c>
      <c r="AI78" s="122">
        <v>2034</v>
      </c>
      <c r="AJ78" s="122" t="str">
        <f t="shared" ref="AJ78:AL78" si="118">A8</f>
        <v>Road</v>
      </c>
      <c r="AK78" s="122" t="str">
        <f t="shared" si="118"/>
        <v>Dry bulk</v>
      </c>
      <c r="AL78" s="122" t="str">
        <f t="shared" si="118"/>
        <v>Battery</v>
      </c>
      <c r="AM78" s="132">
        <f t="shared" ref="AM78:AM91" si="119">T8</f>
        <v>1</v>
      </c>
    </row>
    <row r="79" spans="1:39" x14ac:dyDescent="0.35">
      <c r="AG79" s="122" t="s">
        <v>102</v>
      </c>
      <c r="AH79" s="122" t="s">
        <v>418</v>
      </c>
      <c r="AI79" s="122">
        <v>2034</v>
      </c>
      <c r="AJ79" s="122" t="str">
        <f t="shared" ref="AJ79:AL79" si="120">A9</f>
        <v>Road</v>
      </c>
      <c r="AK79" s="122" t="str">
        <f t="shared" si="120"/>
        <v>Dry bulk</v>
      </c>
      <c r="AL79" s="122" t="str">
        <f t="shared" si="120"/>
        <v>Hydrogen</v>
      </c>
      <c r="AM79" s="132">
        <f t="shared" si="119"/>
        <v>1.0137605265215794</v>
      </c>
    </row>
    <row r="80" spans="1:39" x14ac:dyDescent="0.35">
      <c r="AG80" s="122" t="s">
        <v>419</v>
      </c>
      <c r="AH80" s="122" t="s">
        <v>418</v>
      </c>
      <c r="AI80" s="122">
        <v>2034</v>
      </c>
      <c r="AJ80" s="122" t="str">
        <f t="shared" ref="AJ80:AL80" si="121">A10</f>
        <v>Road</v>
      </c>
      <c r="AK80" s="122" t="str">
        <f t="shared" si="121"/>
        <v>Liquid bulk</v>
      </c>
      <c r="AL80" s="122" t="str">
        <f t="shared" si="121"/>
        <v>Diesel</v>
      </c>
      <c r="AM80" s="132">
        <f t="shared" si="119"/>
        <v>1.0203292982344305</v>
      </c>
    </row>
    <row r="81" spans="33:39" x14ac:dyDescent="0.35">
      <c r="AG81" s="122" t="s">
        <v>86</v>
      </c>
      <c r="AH81" s="122" t="s">
        <v>418</v>
      </c>
      <c r="AI81" s="122">
        <v>2034</v>
      </c>
      <c r="AJ81" s="122" t="str">
        <f t="shared" ref="AJ81:AL81" si="122">A11</f>
        <v>Road</v>
      </c>
      <c r="AK81" s="122" t="str">
        <f t="shared" si="122"/>
        <v>Liquid bulk</v>
      </c>
      <c r="AL81" s="122" t="str">
        <f t="shared" si="122"/>
        <v>Battery</v>
      </c>
      <c r="AM81" s="132">
        <f t="shared" si="119"/>
        <v>1.0116178290070217</v>
      </c>
    </row>
    <row r="82" spans="33:39" x14ac:dyDescent="0.35">
      <c r="AG82" s="122" t="s">
        <v>102</v>
      </c>
      <c r="AH82" s="122" t="s">
        <v>418</v>
      </c>
      <c r="AI82" s="122">
        <v>2034</v>
      </c>
      <c r="AJ82" s="122" t="str">
        <f t="shared" ref="AJ82:AL82" si="123">A12</f>
        <v>Road</v>
      </c>
      <c r="AK82" s="122" t="str">
        <f t="shared" si="123"/>
        <v>Liquid bulk</v>
      </c>
      <c r="AL82" s="122" t="str">
        <f t="shared" si="123"/>
        <v>Hydrogen</v>
      </c>
      <c r="AM82" s="132">
        <f t="shared" si="119"/>
        <v>1.0235288866605576</v>
      </c>
    </row>
    <row r="83" spans="33:39" x14ac:dyDescent="0.35">
      <c r="AG83" s="122" t="s">
        <v>419</v>
      </c>
      <c r="AH83" s="122" t="s">
        <v>418</v>
      </c>
      <c r="AI83" s="122">
        <v>2034</v>
      </c>
      <c r="AJ83" s="122" t="str">
        <f t="shared" ref="AJ83:AL83" si="124">A13</f>
        <v>Road</v>
      </c>
      <c r="AK83" s="122" t="str">
        <f t="shared" si="124"/>
        <v>Container</v>
      </c>
      <c r="AL83" s="122" t="str">
        <f t="shared" si="124"/>
        <v>Diesel</v>
      </c>
      <c r="AM83" s="132">
        <f t="shared" si="119"/>
        <v>1.0201260789001456</v>
      </c>
    </row>
    <row r="84" spans="33:39" x14ac:dyDescent="0.35">
      <c r="AG84" s="122" t="s">
        <v>86</v>
      </c>
      <c r="AH84" s="122" t="s">
        <v>418</v>
      </c>
      <c r="AI84" s="122">
        <v>2034</v>
      </c>
      <c r="AJ84" s="122" t="str">
        <f t="shared" ref="AJ84:AL84" si="125">A14</f>
        <v>Road</v>
      </c>
      <c r="AK84" s="122" t="str">
        <f t="shared" si="125"/>
        <v>Container</v>
      </c>
      <c r="AL84" s="122" t="str">
        <f t="shared" si="125"/>
        <v>Battery</v>
      </c>
      <c r="AM84" s="132">
        <f t="shared" si="119"/>
        <v>1.0114859665141314</v>
      </c>
    </row>
    <row r="85" spans="33:39" x14ac:dyDescent="0.35">
      <c r="AG85" s="122" t="s">
        <v>102</v>
      </c>
      <c r="AH85" s="122" t="s">
        <v>418</v>
      </c>
      <c r="AI85" s="122">
        <v>2034</v>
      </c>
      <c r="AJ85" s="122" t="str">
        <f t="shared" ref="AJ85:AL85" si="126">A15</f>
        <v>Road</v>
      </c>
      <c r="AK85" s="122" t="str">
        <f t="shared" si="126"/>
        <v>Container</v>
      </c>
      <c r="AL85" s="122" t="str">
        <f t="shared" si="126"/>
        <v>Hydrogen</v>
      </c>
      <c r="AM85" s="132">
        <f t="shared" si="119"/>
        <v>1.0232479709487527</v>
      </c>
    </row>
    <row r="86" spans="33:39" x14ac:dyDescent="0.35">
      <c r="AG86" s="122" t="s">
        <v>419</v>
      </c>
      <c r="AH86" s="122" t="s">
        <v>418</v>
      </c>
      <c r="AI86" s="122">
        <v>2034</v>
      </c>
      <c r="AJ86" s="122" t="str">
        <f t="shared" ref="AJ86:AL86" si="127">A16</f>
        <v>Road</v>
      </c>
      <c r="AK86" s="122" t="str">
        <f t="shared" si="127"/>
        <v>Break bulk</v>
      </c>
      <c r="AL86" s="122" t="str">
        <f t="shared" si="127"/>
        <v>Diesel</v>
      </c>
      <c r="AM86" s="132">
        <f t="shared" si="119"/>
        <v>1.0155757639205536</v>
      </c>
    </row>
    <row r="87" spans="33:39" x14ac:dyDescent="0.35">
      <c r="AG87" s="122" t="s">
        <v>86</v>
      </c>
      <c r="AH87" s="122" t="s">
        <v>418</v>
      </c>
      <c r="AI87" s="122">
        <v>2034</v>
      </c>
      <c r="AJ87" s="122" t="str">
        <f t="shared" ref="AJ87:AL87" si="128">A17</f>
        <v>Road</v>
      </c>
      <c r="AK87" s="122" t="str">
        <f t="shared" si="128"/>
        <v>Break bulk</v>
      </c>
      <c r="AL87" s="122" t="str">
        <f t="shared" si="128"/>
        <v>Battery</v>
      </c>
      <c r="AM87" s="132">
        <f t="shared" si="119"/>
        <v>1.0088299623757324</v>
      </c>
    </row>
    <row r="88" spans="33:39" x14ac:dyDescent="0.35">
      <c r="AG88" s="122" t="s">
        <v>102</v>
      </c>
      <c r="AH88" s="122" t="s">
        <v>418</v>
      </c>
      <c r="AI88" s="122">
        <v>2034</v>
      </c>
      <c r="AJ88" s="122" t="str">
        <f t="shared" ref="AJ88:AL88" si="129">A18</f>
        <v>Road</v>
      </c>
      <c r="AK88" s="122" t="str">
        <f t="shared" si="129"/>
        <v>Break bulk</v>
      </c>
      <c r="AL88" s="122" t="str">
        <f t="shared" si="129"/>
        <v>Hydrogen</v>
      </c>
      <c r="AM88" s="132">
        <f t="shared" si="119"/>
        <v>1.0183525399208411</v>
      </c>
    </row>
    <row r="89" spans="33:39" x14ac:dyDescent="0.35">
      <c r="AG89" s="122" t="s">
        <v>419</v>
      </c>
      <c r="AH89" s="122" t="s">
        <v>418</v>
      </c>
      <c r="AI89" s="122">
        <v>2034</v>
      </c>
      <c r="AJ89" s="122" t="str">
        <f t="shared" ref="AJ89:AL89" si="130">A19</f>
        <v>Road</v>
      </c>
      <c r="AK89" s="122" t="str">
        <f t="shared" si="130"/>
        <v>Neo bulk</v>
      </c>
      <c r="AL89" s="122" t="str">
        <f t="shared" si="130"/>
        <v>Diesel</v>
      </c>
      <c r="AM89" s="132">
        <f t="shared" si="119"/>
        <v>1.0176624197536175</v>
      </c>
    </row>
    <row r="90" spans="33:39" x14ac:dyDescent="0.35">
      <c r="AG90" s="122" t="s">
        <v>86</v>
      </c>
      <c r="AH90" s="122" t="s">
        <v>418</v>
      </c>
      <c r="AI90" s="122">
        <v>2034</v>
      </c>
      <c r="AJ90" s="122" t="str">
        <f t="shared" ref="AJ90:AL90" si="131">A20</f>
        <v>Road</v>
      </c>
      <c r="AK90" s="122" t="str">
        <f t="shared" si="131"/>
        <v>Neo bulk</v>
      </c>
      <c r="AL90" s="122" t="str">
        <f t="shared" si="131"/>
        <v>Battery</v>
      </c>
      <c r="AM90" s="132">
        <f t="shared" si="119"/>
        <v>1.0100425800583104</v>
      </c>
    </row>
    <row r="91" spans="33:39" x14ac:dyDescent="0.35">
      <c r="AG91" s="122" t="s">
        <v>102</v>
      </c>
      <c r="AH91" s="122" t="s">
        <v>418</v>
      </c>
      <c r="AI91" s="122">
        <v>2034</v>
      </c>
      <c r="AJ91" s="122" t="str">
        <f t="shared" ref="AJ91:AL91" si="132">A21</f>
        <v>Road</v>
      </c>
      <c r="AK91" s="122" t="str">
        <f t="shared" si="132"/>
        <v>Neo bulk</v>
      </c>
      <c r="AL91" s="122" t="str">
        <f t="shared" si="132"/>
        <v>Hydrogen</v>
      </c>
      <c r="AM91" s="132">
        <f t="shared" si="119"/>
        <v>1.0206190106029198</v>
      </c>
    </row>
    <row r="92" spans="33:39" x14ac:dyDescent="0.35">
      <c r="AG92" s="122" t="s">
        <v>419</v>
      </c>
      <c r="AH92" s="122" t="s">
        <v>416</v>
      </c>
      <c r="AI92" s="122">
        <v>2050</v>
      </c>
      <c r="AJ92" s="122" t="str">
        <f>A7</f>
        <v>Road</v>
      </c>
      <c r="AK92" s="122" t="str">
        <f>B7</f>
        <v>Dry bulk</v>
      </c>
      <c r="AL92" s="122" t="str">
        <f>C7</f>
        <v>Diesel</v>
      </c>
      <c r="AM92" s="132">
        <f>AB7</f>
        <v>1</v>
      </c>
    </row>
    <row r="93" spans="33:39" x14ac:dyDescent="0.35">
      <c r="AG93" s="122" t="s">
        <v>86</v>
      </c>
      <c r="AH93" s="122" t="s">
        <v>416</v>
      </c>
      <c r="AI93" s="122">
        <v>2050</v>
      </c>
      <c r="AJ93" s="122" t="str">
        <f t="shared" ref="AJ93:AL93" si="133">A8</f>
        <v>Road</v>
      </c>
      <c r="AK93" s="122" t="str">
        <f t="shared" si="133"/>
        <v>Dry bulk</v>
      </c>
      <c r="AL93" s="122" t="str">
        <f t="shared" si="133"/>
        <v>Battery</v>
      </c>
      <c r="AM93" s="132">
        <f t="shared" ref="AM93:AM105" si="134">AB8</f>
        <v>1</v>
      </c>
    </row>
    <row r="94" spans="33:39" x14ac:dyDescent="0.35">
      <c r="AG94" s="122" t="s">
        <v>102</v>
      </c>
      <c r="AH94" s="122" t="s">
        <v>416</v>
      </c>
      <c r="AI94" s="122">
        <v>2050</v>
      </c>
      <c r="AJ94" s="122" t="str">
        <f t="shared" ref="AJ94:AL94" si="135">A9</f>
        <v>Road</v>
      </c>
      <c r="AK94" s="122" t="str">
        <f t="shared" si="135"/>
        <v>Dry bulk</v>
      </c>
      <c r="AL94" s="122" t="str">
        <f t="shared" si="135"/>
        <v>Hydrogen</v>
      </c>
      <c r="AM94" s="132">
        <f t="shared" si="134"/>
        <v>1</v>
      </c>
    </row>
    <row r="95" spans="33:39" x14ac:dyDescent="0.35">
      <c r="AG95" s="122" t="s">
        <v>419</v>
      </c>
      <c r="AH95" s="122" t="s">
        <v>416</v>
      </c>
      <c r="AI95" s="122">
        <v>2050</v>
      </c>
      <c r="AJ95" s="122" t="str">
        <f t="shared" ref="AJ95:AL95" si="136">A10</f>
        <v>Road</v>
      </c>
      <c r="AK95" s="122" t="str">
        <f t="shared" si="136"/>
        <v>Liquid bulk</v>
      </c>
      <c r="AL95" s="122" t="str">
        <f t="shared" si="136"/>
        <v>Diesel</v>
      </c>
      <c r="AM95" s="132">
        <f t="shared" si="134"/>
        <v>1</v>
      </c>
    </row>
    <row r="96" spans="33:39" x14ac:dyDescent="0.35">
      <c r="AG96" s="122" t="s">
        <v>86</v>
      </c>
      <c r="AH96" s="122" t="s">
        <v>416</v>
      </c>
      <c r="AI96" s="122">
        <v>2050</v>
      </c>
      <c r="AJ96" s="122" t="str">
        <f t="shared" ref="AJ96:AL96" si="137">A11</f>
        <v>Road</v>
      </c>
      <c r="AK96" s="122" t="str">
        <f t="shared" si="137"/>
        <v>Liquid bulk</v>
      </c>
      <c r="AL96" s="122" t="str">
        <f t="shared" si="137"/>
        <v>Battery</v>
      </c>
      <c r="AM96" s="132">
        <f t="shared" si="134"/>
        <v>1</v>
      </c>
    </row>
    <row r="97" spans="33:39" x14ac:dyDescent="0.35">
      <c r="AG97" s="122" t="s">
        <v>102</v>
      </c>
      <c r="AH97" s="122" t="s">
        <v>416</v>
      </c>
      <c r="AI97" s="122">
        <v>2050</v>
      </c>
      <c r="AJ97" s="122" t="str">
        <f t="shared" ref="AJ97:AL97" si="138">A12</f>
        <v>Road</v>
      </c>
      <c r="AK97" s="122" t="str">
        <f t="shared" si="138"/>
        <v>Liquid bulk</v>
      </c>
      <c r="AL97" s="122" t="str">
        <f t="shared" si="138"/>
        <v>Hydrogen</v>
      </c>
      <c r="AM97" s="132">
        <f t="shared" si="134"/>
        <v>1</v>
      </c>
    </row>
    <row r="98" spans="33:39" x14ac:dyDescent="0.35">
      <c r="AG98" s="122" t="s">
        <v>419</v>
      </c>
      <c r="AH98" s="122" t="s">
        <v>416</v>
      </c>
      <c r="AI98" s="122">
        <v>2050</v>
      </c>
      <c r="AJ98" s="122" t="str">
        <f t="shared" ref="AJ98:AL98" si="139">A13</f>
        <v>Road</v>
      </c>
      <c r="AK98" s="122" t="str">
        <f t="shared" si="139"/>
        <v>Container</v>
      </c>
      <c r="AL98" s="122" t="str">
        <f t="shared" si="139"/>
        <v>Diesel</v>
      </c>
      <c r="AM98" s="132">
        <f t="shared" si="134"/>
        <v>1</v>
      </c>
    </row>
    <row r="99" spans="33:39" x14ac:dyDescent="0.35">
      <c r="AG99" s="122" t="s">
        <v>86</v>
      </c>
      <c r="AH99" s="122" t="s">
        <v>416</v>
      </c>
      <c r="AI99" s="122">
        <v>2050</v>
      </c>
      <c r="AJ99" s="122" t="str">
        <f t="shared" ref="AJ99:AL99" si="140">A14</f>
        <v>Road</v>
      </c>
      <c r="AK99" s="122" t="str">
        <f t="shared" si="140"/>
        <v>Container</v>
      </c>
      <c r="AL99" s="122" t="str">
        <f t="shared" si="140"/>
        <v>Battery</v>
      </c>
      <c r="AM99" s="132">
        <f t="shared" si="134"/>
        <v>1</v>
      </c>
    </row>
    <row r="100" spans="33:39" x14ac:dyDescent="0.35">
      <c r="AG100" s="122" t="s">
        <v>102</v>
      </c>
      <c r="AH100" s="122" t="s">
        <v>416</v>
      </c>
      <c r="AI100" s="122">
        <v>2050</v>
      </c>
      <c r="AJ100" s="122" t="str">
        <f t="shared" ref="AJ100:AL100" si="141">A15</f>
        <v>Road</v>
      </c>
      <c r="AK100" s="122" t="str">
        <f t="shared" si="141"/>
        <v>Container</v>
      </c>
      <c r="AL100" s="122" t="str">
        <f t="shared" si="141"/>
        <v>Hydrogen</v>
      </c>
      <c r="AM100" s="132">
        <f t="shared" si="134"/>
        <v>1</v>
      </c>
    </row>
    <row r="101" spans="33:39" x14ac:dyDescent="0.35">
      <c r="AG101" s="122" t="s">
        <v>419</v>
      </c>
      <c r="AH101" s="122" t="s">
        <v>416</v>
      </c>
      <c r="AI101" s="122">
        <v>2050</v>
      </c>
      <c r="AJ101" s="122" t="str">
        <f t="shared" ref="AJ101:AL101" si="142">A16</f>
        <v>Road</v>
      </c>
      <c r="AK101" s="122" t="str">
        <f t="shared" si="142"/>
        <v>Break bulk</v>
      </c>
      <c r="AL101" s="122" t="str">
        <f t="shared" si="142"/>
        <v>Diesel</v>
      </c>
      <c r="AM101" s="132">
        <f t="shared" si="134"/>
        <v>1</v>
      </c>
    </row>
    <row r="102" spans="33:39" x14ac:dyDescent="0.35">
      <c r="AG102" s="122" t="s">
        <v>86</v>
      </c>
      <c r="AH102" s="122" t="s">
        <v>416</v>
      </c>
      <c r="AI102" s="122">
        <v>2050</v>
      </c>
      <c r="AJ102" s="122" t="str">
        <f t="shared" ref="AJ102:AL102" si="143">A17</f>
        <v>Road</v>
      </c>
      <c r="AK102" s="122" t="str">
        <f t="shared" si="143"/>
        <v>Break bulk</v>
      </c>
      <c r="AL102" s="122" t="str">
        <f t="shared" si="143"/>
        <v>Battery</v>
      </c>
      <c r="AM102" s="132">
        <f t="shared" si="134"/>
        <v>1</v>
      </c>
    </row>
    <row r="103" spans="33:39" x14ac:dyDescent="0.35">
      <c r="AG103" s="122" t="s">
        <v>102</v>
      </c>
      <c r="AH103" s="122" t="s">
        <v>416</v>
      </c>
      <c r="AI103" s="122">
        <v>2050</v>
      </c>
      <c r="AJ103" s="122" t="str">
        <f t="shared" ref="AJ103:AL103" si="144">A18</f>
        <v>Road</v>
      </c>
      <c r="AK103" s="122" t="str">
        <f t="shared" si="144"/>
        <v>Break bulk</v>
      </c>
      <c r="AL103" s="122" t="str">
        <f t="shared" si="144"/>
        <v>Hydrogen</v>
      </c>
      <c r="AM103" s="132">
        <f t="shared" si="134"/>
        <v>1</v>
      </c>
    </row>
    <row r="104" spans="33:39" x14ac:dyDescent="0.35">
      <c r="AG104" s="122" t="s">
        <v>419</v>
      </c>
      <c r="AH104" s="122" t="s">
        <v>416</v>
      </c>
      <c r="AI104" s="122">
        <v>2050</v>
      </c>
      <c r="AJ104" s="122" t="str">
        <f t="shared" ref="AJ104:AL104" si="145">A19</f>
        <v>Road</v>
      </c>
      <c r="AK104" s="122" t="str">
        <f t="shared" si="145"/>
        <v>Neo bulk</v>
      </c>
      <c r="AL104" s="122" t="str">
        <f t="shared" si="145"/>
        <v>Diesel</v>
      </c>
      <c r="AM104" s="132">
        <f t="shared" si="134"/>
        <v>1</v>
      </c>
    </row>
    <row r="105" spans="33:39" x14ac:dyDescent="0.35">
      <c r="AG105" s="122" t="s">
        <v>86</v>
      </c>
      <c r="AH105" s="122" t="s">
        <v>416</v>
      </c>
      <c r="AI105" s="122">
        <v>2050</v>
      </c>
      <c r="AJ105" s="122" t="str">
        <f t="shared" ref="AJ105:AL105" si="146">A20</f>
        <v>Road</v>
      </c>
      <c r="AK105" s="122" t="str">
        <f t="shared" si="146"/>
        <v>Neo bulk</v>
      </c>
      <c r="AL105" s="122" t="str">
        <f t="shared" si="146"/>
        <v>Battery</v>
      </c>
      <c r="AM105" s="132">
        <f t="shared" si="134"/>
        <v>1</v>
      </c>
    </row>
    <row r="106" spans="33:39" x14ac:dyDescent="0.35">
      <c r="AG106" s="122" t="s">
        <v>102</v>
      </c>
      <c r="AH106" s="122" t="s">
        <v>416</v>
      </c>
      <c r="AI106" s="122">
        <v>2050</v>
      </c>
      <c r="AJ106" s="122" t="str">
        <f>A21</f>
        <v>Road</v>
      </c>
      <c r="AK106" s="122" t="str">
        <f>B21</f>
        <v>Neo bulk</v>
      </c>
      <c r="AL106" s="122" t="str">
        <f>C21</f>
        <v>Hydrogen</v>
      </c>
      <c r="AM106" s="132">
        <f>AB21</f>
        <v>1</v>
      </c>
    </row>
    <row r="107" spans="33:39" x14ac:dyDescent="0.35">
      <c r="AG107" s="122" t="s">
        <v>419</v>
      </c>
      <c r="AH107" s="122" t="s">
        <v>417</v>
      </c>
      <c r="AI107" s="122">
        <v>2050</v>
      </c>
      <c r="AJ107" s="122" t="str">
        <f>A7</f>
        <v>Road</v>
      </c>
      <c r="AK107" s="122" t="str">
        <f>B7</f>
        <v>Dry bulk</v>
      </c>
      <c r="AL107" s="122" t="str">
        <f>C7</f>
        <v>Diesel</v>
      </c>
      <c r="AM107" s="132">
        <f>AC7</f>
        <v>0.97311771593843233</v>
      </c>
    </row>
    <row r="108" spans="33:39" x14ac:dyDescent="0.35">
      <c r="AG108" s="122" t="s">
        <v>86</v>
      </c>
      <c r="AH108" s="122" t="s">
        <v>417</v>
      </c>
      <c r="AI108" s="122">
        <v>2050</v>
      </c>
      <c r="AJ108" s="122" t="str">
        <f t="shared" ref="AJ108:AL108" si="147">A8</f>
        <v>Road</v>
      </c>
      <c r="AK108" s="122" t="str">
        <f t="shared" si="147"/>
        <v>Dry bulk</v>
      </c>
      <c r="AL108" s="122" t="str">
        <f t="shared" si="147"/>
        <v>Battery</v>
      </c>
      <c r="AM108" s="132">
        <f t="shared" ref="AM108:AM121" si="148">AC8</f>
        <v>1</v>
      </c>
    </row>
    <row r="109" spans="33:39" x14ac:dyDescent="0.35">
      <c r="AG109" s="122" t="s">
        <v>102</v>
      </c>
      <c r="AH109" s="122" t="s">
        <v>417</v>
      </c>
      <c r="AI109" s="122">
        <v>2050</v>
      </c>
      <c r="AJ109" s="122" t="str">
        <f t="shared" ref="AJ109:AL109" si="149">A9</f>
        <v>Road</v>
      </c>
      <c r="AK109" s="122" t="str">
        <f t="shared" si="149"/>
        <v>Dry bulk</v>
      </c>
      <c r="AL109" s="122" t="str">
        <f t="shared" si="149"/>
        <v>Hydrogen</v>
      </c>
      <c r="AM109" s="132">
        <f t="shared" si="148"/>
        <v>0.9886675353383011</v>
      </c>
    </row>
    <row r="110" spans="33:39" x14ac:dyDescent="0.35">
      <c r="AG110" s="122" t="s">
        <v>419</v>
      </c>
      <c r="AH110" s="122" t="s">
        <v>417</v>
      </c>
      <c r="AI110" s="122">
        <v>2050</v>
      </c>
      <c r="AJ110" s="122" t="str">
        <f t="shared" ref="AJ110:AL110" si="150">A10</f>
        <v>Road</v>
      </c>
      <c r="AK110" s="122" t="str">
        <f t="shared" si="150"/>
        <v>Liquid bulk</v>
      </c>
      <c r="AL110" s="122" t="str">
        <f t="shared" si="150"/>
        <v>Diesel</v>
      </c>
      <c r="AM110" s="132">
        <f t="shared" si="148"/>
        <v>0.95174644159803445</v>
      </c>
    </row>
    <row r="111" spans="33:39" x14ac:dyDescent="0.35">
      <c r="AG111" s="122" t="s">
        <v>86</v>
      </c>
      <c r="AH111" s="122" t="s">
        <v>417</v>
      </c>
      <c r="AI111" s="122">
        <v>2050</v>
      </c>
      <c r="AJ111" s="122" t="str">
        <f t="shared" ref="AJ111:AL111" si="151">A11</f>
        <v>Road</v>
      </c>
      <c r="AK111" s="122" t="str">
        <f t="shared" si="151"/>
        <v>Liquid bulk</v>
      </c>
      <c r="AL111" s="122" t="str">
        <f t="shared" si="151"/>
        <v>Battery</v>
      </c>
      <c r="AM111" s="132">
        <f t="shared" si="148"/>
        <v>0.98979227923177993</v>
      </c>
    </row>
    <row r="112" spans="33:39" x14ac:dyDescent="0.35">
      <c r="AG112" s="122" t="s">
        <v>102</v>
      </c>
      <c r="AH112" s="122" t="s">
        <v>417</v>
      </c>
      <c r="AI112" s="122">
        <v>2050</v>
      </c>
      <c r="AJ112" s="122" t="str">
        <f t="shared" ref="AJ112:AL112" si="152">A12</f>
        <v>Road</v>
      </c>
      <c r="AK112" s="122" t="str">
        <f t="shared" si="152"/>
        <v>Liquid bulk</v>
      </c>
      <c r="AL112" s="122" t="str">
        <f t="shared" si="152"/>
        <v>Hydrogen</v>
      </c>
      <c r="AM112" s="132">
        <f t="shared" si="148"/>
        <v>0.98021265974116756</v>
      </c>
    </row>
    <row r="113" spans="33:39" x14ac:dyDescent="0.35">
      <c r="AG113" s="122" t="s">
        <v>419</v>
      </c>
      <c r="AH113" s="122" t="s">
        <v>417</v>
      </c>
      <c r="AI113" s="122">
        <v>2050</v>
      </c>
      <c r="AJ113" s="122" t="str">
        <f t="shared" ref="AJ113:AL113" si="153">A13</f>
        <v>Road</v>
      </c>
      <c r="AK113" s="122" t="str">
        <f t="shared" si="153"/>
        <v>Container</v>
      </c>
      <c r="AL113" s="122" t="str">
        <f t="shared" si="153"/>
        <v>Diesel</v>
      </c>
      <c r="AM113" s="132">
        <f t="shared" si="148"/>
        <v>0.95226376087785436</v>
      </c>
    </row>
    <row r="114" spans="33:39" x14ac:dyDescent="0.35">
      <c r="AG114" s="122" t="s">
        <v>86</v>
      </c>
      <c r="AH114" s="122" t="s">
        <v>417</v>
      </c>
      <c r="AI114" s="122">
        <v>2050</v>
      </c>
      <c r="AJ114" s="122" t="str">
        <f t="shared" ref="AJ114:AL114" si="154">A14</f>
        <v>Road</v>
      </c>
      <c r="AK114" s="122" t="str">
        <f t="shared" si="154"/>
        <v>Container</v>
      </c>
      <c r="AL114" s="122" t="str">
        <f t="shared" si="154"/>
        <v>Battery</v>
      </c>
      <c r="AM114" s="132">
        <f t="shared" si="148"/>
        <v>0.98989053383858672</v>
      </c>
    </row>
    <row r="115" spans="33:39" x14ac:dyDescent="0.35">
      <c r="AG115" s="122" t="s">
        <v>102</v>
      </c>
      <c r="AH115" s="122" t="s">
        <v>417</v>
      </c>
      <c r="AI115" s="122">
        <v>2050</v>
      </c>
      <c r="AJ115" s="122" t="str">
        <f t="shared" ref="AJ115:AL115" si="155">A15</f>
        <v>Road</v>
      </c>
      <c r="AK115" s="122" t="str">
        <f t="shared" si="155"/>
        <v>Container</v>
      </c>
      <c r="AL115" s="122" t="str">
        <f t="shared" si="155"/>
        <v>Hydrogen</v>
      </c>
      <c r="AM115" s="132">
        <f t="shared" si="148"/>
        <v>0.98041411229009656</v>
      </c>
    </row>
    <row r="116" spans="33:39" x14ac:dyDescent="0.35">
      <c r="AG116" s="122" t="s">
        <v>419</v>
      </c>
      <c r="AH116" s="122" t="s">
        <v>417</v>
      </c>
      <c r="AI116" s="122">
        <v>2050</v>
      </c>
      <c r="AJ116" s="122" t="str">
        <f t="shared" ref="AJ116:AL116" si="156">A16</f>
        <v>Road</v>
      </c>
      <c r="AK116" s="122" t="str">
        <f t="shared" si="156"/>
        <v>Break bulk</v>
      </c>
      <c r="AL116" s="122" t="str">
        <f t="shared" si="156"/>
        <v>Diesel</v>
      </c>
      <c r="AM116" s="132">
        <f t="shared" si="148"/>
        <v>0.9632967413493444</v>
      </c>
    </row>
    <row r="117" spans="33:39" x14ac:dyDescent="0.35">
      <c r="AG117" s="122" t="s">
        <v>86</v>
      </c>
      <c r="AH117" s="122" t="s">
        <v>417</v>
      </c>
      <c r="AI117" s="122">
        <v>2050</v>
      </c>
      <c r="AJ117" s="122" t="str">
        <f t="shared" ref="AJ117:AL117" si="157">A17</f>
        <v>Road</v>
      </c>
      <c r="AK117" s="122" t="str">
        <f t="shared" si="157"/>
        <v>Break bulk</v>
      </c>
      <c r="AL117" s="122" t="str">
        <f t="shared" si="157"/>
        <v>Battery</v>
      </c>
      <c r="AM117" s="132">
        <f t="shared" si="148"/>
        <v>0.99223994415697814</v>
      </c>
    </row>
    <row r="118" spans="33:39" x14ac:dyDescent="0.35">
      <c r="AG118" s="122" t="s">
        <v>102</v>
      </c>
      <c r="AH118" s="122" t="s">
        <v>417</v>
      </c>
      <c r="AI118" s="122">
        <v>2050</v>
      </c>
      <c r="AJ118" s="122" t="str">
        <f t="shared" ref="AJ118:AL118" si="158">A18</f>
        <v>Road</v>
      </c>
      <c r="AK118" s="122" t="str">
        <f t="shared" si="158"/>
        <v>Break bulk</v>
      </c>
      <c r="AL118" s="122" t="str">
        <f t="shared" si="158"/>
        <v>Hydrogen</v>
      </c>
      <c r="AM118" s="132">
        <f t="shared" si="148"/>
        <v>0.98472487085161342</v>
      </c>
    </row>
    <row r="119" spans="33:39" x14ac:dyDescent="0.35">
      <c r="AG119" s="122" t="s">
        <v>419</v>
      </c>
      <c r="AH119" s="122" t="s">
        <v>417</v>
      </c>
      <c r="AI119" s="122">
        <v>2050</v>
      </c>
      <c r="AJ119" s="122" t="str">
        <f t="shared" ref="AJ119:AL119" si="159">A19</f>
        <v>Road</v>
      </c>
      <c r="AK119" s="122" t="str">
        <f t="shared" si="159"/>
        <v>Neo bulk</v>
      </c>
      <c r="AL119" s="122" t="str">
        <f t="shared" si="159"/>
        <v>Diesel</v>
      </c>
      <c r="AM119" s="132">
        <f t="shared" si="148"/>
        <v>0.95825583067299314</v>
      </c>
    </row>
    <row r="120" spans="33:39" x14ac:dyDescent="0.35">
      <c r="AG120" s="122" t="s">
        <v>86</v>
      </c>
      <c r="AH120" s="122" t="s">
        <v>417</v>
      </c>
      <c r="AI120" s="122">
        <v>2050</v>
      </c>
      <c r="AJ120" s="122" t="str">
        <f t="shared" ref="AJ120:AL120" si="160">A20</f>
        <v>Road</v>
      </c>
      <c r="AK120" s="122" t="str">
        <f t="shared" si="160"/>
        <v>Neo bulk</v>
      </c>
      <c r="AL120" s="122" t="str">
        <f t="shared" si="160"/>
        <v>Battery</v>
      </c>
      <c r="AM120" s="132">
        <f t="shared" si="148"/>
        <v>0.99116744940085943</v>
      </c>
    </row>
    <row r="121" spans="33:39" x14ac:dyDescent="0.35">
      <c r="AG121" s="122" t="s">
        <v>102</v>
      </c>
      <c r="AH121" s="122" t="s">
        <v>417</v>
      </c>
      <c r="AI121" s="122">
        <v>2050</v>
      </c>
      <c r="AJ121" s="122" t="str">
        <f t="shared" ref="AJ121:AL121" si="161">A21</f>
        <v>Road</v>
      </c>
      <c r="AK121" s="122" t="str">
        <f t="shared" si="161"/>
        <v>Neo bulk</v>
      </c>
      <c r="AL121" s="122" t="str">
        <f t="shared" si="161"/>
        <v>Hydrogen</v>
      </c>
      <c r="AM121" s="132">
        <f t="shared" si="148"/>
        <v>0.98274038277518494</v>
      </c>
    </row>
    <row r="122" spans="33:39" x14ac:dyDescent="0.35">
      <c r="AG122" s="122" t="s">
        <v>419</v>
      </c>
      <c r="AH122" s="122" t="s">
        <v>418</v>
      </c>
      <c r="AI122" s="122">
        <v>2050</v>
      </c>
      <c r="AJ122" s="122" t="str">
        <f>A7</f>
        <v>Road</v>
      </c>
      <c r="AK122" s="122" t="str">
        <f>B7</f>
        <v>Dry bulk</v>
      </c>
      <c r="AL122" s="122" t="str">
        <f>C7</f>
        <v>Diesel</v>
      </c>
      <c r="AM122" s="132">
        <f>AD7</f>
        <v>1.0176655009547446</v>
      </c>
    </row>
    <row r="123" spans="33:39" x14ac:dyDescent="0.35">
      <c r="AG123" s="122" t="s">
        <v>86</v>
      </c>
      <c r="AH123" s="122" t="s">
        <v>418</v>
      </c>
      <c r="AI123" s="122">
        <v>2050</v>
      </c>
      <c r="AJ123" s="122" t="str">
        <f t="shared" ref="AJ123:AL123" si="162">A8</f>
        <v>Road</v>
      </c>
      <c r="AK123" s="122" t="str">
        <f t="shared" si="162"/>
        <v>Dry bulk</v>
      </c>
      <c r="AL123" s="122" t="str">
        <f t="shared" si="162"/>
        <v>Battery</v>
      </c>
      <c r="AM123" s="132">
        <f t="shared" ref="AM123:AM136" si="163">AD8</f>
        <v>1</v>
      </c>
    </row>
    <row r="124" spans="33:39" x14ac:dyDescent="0.35">
      <c r="AG124" s="122" t="s">
        <v>102</v>
      </c>
      <c r="AH124" s="122" t="s">
        <v>418</v>
      </c>
      <c r="AI124" s="122">
        <v>2050</v>
      </c>
      <c r="AJ124" s="122" t="str">
        <f t="shared" ref="AJ124:AL124" si="164">A9</f>
        <v>Road</v>
      </c>
      <c r="AK124" s="122" t="str">
        <f t="shared" si="164"/>
        <v>Dry bulk</v>
      </c>
      <c r="AL124" s="122" t="str">
        <f t="shared" si="164"/>
        <v>Hydrogen</v>
      </c>
      <c r="AM124" s="132">
        <f t="shared" si="163"/>
        <v>1.0106241856203428</v>
      </c>
    </row>
    <row r="125" spans="33:39" x14ac:dyDescent="0.35">
      <c r="AG125" s="122" t="s">
        <v>419</v>
      </c>
      <c r="AH125" s="122" t="s">
        <v>418</v>
      </c>
      <c r="AI125" s="122">
        <v>2050</v>
      </c>
      <c r="AJ125" s="122" t="str">
        <f t="shared" ref="AJ125:AL125" si="165">A10</f>
        <v>Road</v>
      </c>
      <c r="AK125" s="122" t="str">
        <f t="shared" si="165"/>
        <v>Liquid bulk</v>
      </c>
      <c r="AL125" s="122" t="str">
        <f t="shared" si="165"/>
        <v>Diesel</v>
      </c>
      <c r="AM125" s="132">
        <f t="shared" si="163"/>
        <v>1.0317094812355776</v>
      </c>
    </row>
    <row r="126" spans="33:39" x14ac:dyDescent="0.35">
      <c r="AG126" s="122" t="s">
        <v>86</v>
      </c>
      <c r="AH126" s="122" t="s">
        <v>418</v>
      </c>
      <c r="AI126" s="122">
        <v>2050</v>
      </c>
      <c r="AJ126" s="122" t="str">
        <f t="shared" ref="AJ126:AL126" si="166">A11</f>
        <v>Road</v>
      </c>
      <c r="AK126" s="122" t="str">
        <f t="shared" si="166"/>
        <v>Liquid bulk</v>
      </c>
      <c r="AL126" s="122" t="str">
        <f t="shared" si="166"/>
        <v>Battery</v>
      </c>
      <c r="AM126" s="132">
        <f t="shared" si="163"/>
        <v>1.0095697382202065</v>
      </c>
    </row>
    <row r="127" spans="33:39" x14ac:dyDescent="0.35">
      <c r="AG127" s="122" t="s">
        <v>102</v>
      </c>
      <c r="AH127" s="122" t="s">
        <v>418</v>
      </c>
      <c r="AI127" s="122">
        <v>2050</v>
      </c>
      <c r="AJ127" s="122" t="str">
        <f t="shared" ref="AJ127:AL127" si="167">A12</f>
        <v>Road</v>
      </c>
      <c r="AK127" s="122" t="str">
        <f t="shared" si="167"/>
        <v>Liquid bulk</v>
      </c>
      <c r="AL127" s="122" t="str">
        <f t="shared" si="167"/>
        <v>Hydrogen</v>
      </c>
      <c r="AM127" s="132">
        <f t="shared" si="163"/>
        <v>1.0185506314926556</v>
      </c>
    </row>
    <row r="128" spans="33:39" x14ac:dyDescent="0.35">
      <c r="AG128" s="122" t="s">
        <v>419</v>
      </c>
      <c r="AH128" s="122" t="s">
        <v>418</v>
      </c>
      <c r="AI128" s="122">
        <v>2050</v>
      </c>
      <c r="AJ128" s="122" t="str">
        <f t="shared" ref="AJ128:AL128" si="168">A13</f>
        <v>Road</v>
      </c>
      <c r="AK128" s="122" t="str">
        <f t="shared" si="168"/>
        <v>Container</v>
      </c>
      <c r="AL128" s="122" t="str">
        <f t="shared" si="168"/>
        <v>Diesel</v>
      </c>
      <c r="AM128" s="132">
        <f t="shared" si="163"/>
        <v>1.0313695285659814</v>
      </c>
    </row>
    <row r="129" spans="33:39" x14ac:dyDescent="0.35">
      <c r="AG129" s="122" t="s">
        <v>86</v>
      </c>
      <c r="AH129" s="122" t="s">
        <v>418</v>
      </c>
      <c r="AI129" s="122">
        <v>2050</v>
      </c>
      <c r="AJ129" s="122" t="str">
        <f t="shared" ref="AJ129:AL129" si="169">A14</f>
        <v>Road</v>
      </c>
      <c r="AK129" s="122" t="str">
        <f t="shared" si="169"/>
        <v>Container</v>
      </c>
      <c r="AL129" s="122" t="str">
        <f t="shared" si="169"/>
        <v>Battery</v>
      </c>
      <c r="AM129" s="132">
        <f t="shared" si="163"/>
        <v>1.0094776245263251</v>
      </c>
    </row>
    <row r="130" spans="33:39" x14ac:dyDescent="0.35">
      <c r="AG130" s="122" t="s">
        <v>102</v>
      </c>
      <c r="AH130" s="122" t="s">
        <v>418</v>
      </c>
      <c r="AI130" s="122">
        <v>2050</v>
      </c>
      <c r="AJ130" s="122" t="str">
        <f t="shared" ref="AJ130:AL130" si="170">A15</f>
        <v>Road</v>
      </c>
      <c r="AK130" s="122" t="str">
        <f t="shared" si="170"/>
        <v>Container</v>
      </c>
      <c r="AL130" s="122" t="str">
        <f t="shared" si="170"/>
        <v>Hydrogen</v>
      </c>
      <c r="AM130" s="132">
        <f t="shared" si="163"/>
        <v>1.0183617697280345</v>
      </c>
    </row>
    <row r="131" spans="33:39" x14ac:dyDescent="0.35">
      <c r="AG131" s="122" t="s">
        <v>419</v>
      </c>
      <c r="AH131" s="122" t="s">
        <v>418</v>
      </c>
      <c r="AI131" s="122">
        <v>2050</v>
      </c>
      <c r="AJ131" s="122" t="str">
        <f t="shared" ref="AJ131:AL131" si="171">A16</f>
        <v>Road</v>
      </c>
      <c r="AK131" s="122" t="str">
        <f t="shared" si="171"/>
        <v>Break bulk</v>
      </c>
      <c r="AL131" s="122" t="str">
        <f t="shared" si="171"/>
        <v>Diesel</v>
      </c>
      <c r="AM131" s="132">
        <f t="shared" si="163"/>
        <v>1.0241192842561451</v>
      </c>
    </row>
    <row r="132" spans="33:39" x14ac:dyDescent="0.35">
      <c r="AG132" s="122" t="s">
        <v>86</v>
      </c>
      <c r="AH132" s="122" t="s">
        <v>418</v>
      </c>
      <c r="AI132" s="122">
        <v>2050</v>
      </c>
      <c r="AJ132" s="122" t="str">
        <f t="shared" ref="AJ132:AL132" si="172">A17</f>
        <v>Road</v>
      </c>
      <c r="AK132" s="122" t="str">
        <f t="shared" si="172"/>
        <v>Break bulk</v>
      </c>
      <c r="AL132" s="122" t="str">
        <f t="shared" si="172"/>
        <v>Battery</v>
      </c>
      <c r="AM132" s="132">
        <f t="shared" si="163"/>
        <v>1.0072750523528331</v>
      </c>
    </row>
    <row r="133" spans="33:39" x14ac:dyDescent="0.35">
      <c r="AG133" s="122" t="s">
        <v>102</v>
      </c>
      <c r="AH133" s="122" t="s">
        <v>418</v>
      </c>
      <c r="AI133" s="122">
        <v>2050</v>
      </c>
      <c r="AJ133" s="122" t="str">
        <f t="shared" ref="AJ133:AL133" si="173">A18</f>
        <v>Road</v>
      </c>
      <c r="AK133" s="122" t="str">
        <f t="shared" si="173"/>
        <v>Break bulk</v>
      </c>
      <c r="AL133" s="122" t="str">
        <f t="shared" si="173"/>
        <v>Hydrogen</v>
      </c>
      <c r="AM133" s="132">
        <f t="shared" si="163"/>
        <v>1.0143204335766123</v>
      </c>
    </row>
    <row r="134" spans="33:39" x14ac:dyDescent="0.35">
      <c r="AG134" s="122" t="s">
        <v>419</v>
      </c>
      <c r="AH134" s="122" t="s">
        <v>418</v>
      </c>
      <c r="AI134" s="122">
        <v>2050</v>
      </c>
      <c r="AJ134" s="122" t="str">
        <f t="shared" ref="AJ134:AL134" si="174">A19</f>
        <v>Road</v>
      </c>
      <c r="AK134" s="122" t="str">
        <f t="shared" si="174"/>
        <v>Neo bulk</v>
      </c>
      <c r="AL134" s="122" t="str">
        <f t="shared" si="174"/>
        <v>Diesel</v>
      </c>
      <c r="AM134" s="132">
        <f t="shared" si="163"/>
        <v>1.0274318827006046</v>
      </c>
    </row>
    <row r="135" spans="33:39" x14ac:dyDescent="0.35">
      <c r="AG135" s="122" t="s">
        <v>86</v>
      </c>
      <c r="AH135" s="122" t="s">
        <v>418</v>
      </c>
      <c r="AI135" s="122">
        <v>2050</v>
      </c>
      <c r="AJ135" s="122" t="str">
        <f t="shared" ref="AJ135:AL135" si="175">A20</f>
        <v>Road</v>
      </c>
      <c r="AK135" s="122" t="str">
        <f t="shared" si="175"/>
        <v>Neo bulk</v>
      </c>
      <c r="AL135" s="122" t="str">
        <f t="shared" si="175"/>
        <v>Battery</v>
      </c>
      <c r="AM135" s="132">
        <f t="shared" si="163"/>
        <v>1.0082805161866941</v>
      </c>
    </row>
    <row r="136" spans="33:39" x14ac:dyDescent="0.35">
      <c r="AG136" s="122" t="s">
        <v>102</v>
      </c>
      <c r="AH136" s="122" t="s">
        <v>418</v>
      </c>
      <c r="AI136" s="122">
        <v>2050</v>
      </c>
      <c r="AJ136" s="122" t="str">
        <f t="shared" ref="AJ136:AL136" si="176">A21</f>
        <v>Road</v>
      </c>
      <c r="AK136" s="122" t="str">
        <f t="shared" si="176"/>
        <v>Neo bulk</v>
      </c>
      <c r="AL136" s="122" t="str">
        <f t="shared" si="176"/>
        <v>Hydrogen</v>
      </c>
      <c r="AM136" s="132">
        <f t="shared" si="163"/>
        <v>1.0161808911482648</v>
      </c>
    </row>
    <row r="137" spans="33:39" x14ac:dyDescent="0.35">
      <c r="AG137" s="122" t="s">
        <v>419</v>
      </c>
      <c r="AH137" s="122" t="s">
        <v>416</v>
      </c>
      <c r="AI137" s="122">
        <v>2023</v>
      </c>
      <c r="AJ137" s="122" t="str">
        <f>A25</f>
        <v>Rail</v>
      </c>
      <c r="AK137" s="122" t="str">
        <f>B25</f>
        <v>Dry bulk</v>
      </c>
      <c r="AL137" s="122" t="str">
        <f>C25</f>
        <v>Diesel</v>
      </c>
      <c r="AM137" s="132">
        <f>I25</f>
        <v>1</v>
      </c>
    </row>
    <row r="138" spans="33:39" x14ac:dyDescent="0.35">
      <c r="AG138" s="122" t="s">
        <v>419</v>
      </c>
      <c r="AH138" s="122" t="s">
        <v>416</v>
      </c>
      <c r="AI138" s="122">
        <v>2023</v>
      </c>
      <c r="AJ138" s="122" t="str">
        <f t="shared" ref="AJ138:AL138" si="177">A26</f>
        <v>Rail</v>
      </c>
      <c r="AK138" s="122" t="str">
        <f t="shared" si="177"/>
        <v>Dry bulk</v>
      </c>
      <c r="AL138" s="122" t="str">
        <f t="shared" si="177"/>
        <v>Catenary</v>
      </c>
      <c r="AM138" s="132">
        <f t="shared" ref="AM138:AM156" si="178">I26</f>
        <v>1</v>
      </c>
    </row>
    <row r="139" spans="33:39" x14ac:dyDescent="0.35">
      <c r="AG139" s="122" t="s">
        <v>86</v>
      </c>
      <c r="AH139" s="122" t="s">
        <v>416</v>
      </c>
      <c r="AI139" s="122">
        <v>2023</v>
      </c>
      <c r="AJ139" s="122" t="str">
        <f t="shared" ref="AJ139:AL139" si="179">A27</f>
        <v>Rail</v>
      </c>
      <c r="AK139" s="122" t="str">
        <f t="shared" si="179"/>
        <v>Dry bulk</v>
      </c>
      <c r="AL139" s="122" t="str">
        <f t="shared" si="179"/>
        <v>Battery</v>
      </c>
      <c r="AM139" s="132">
        <f t="shared" si="178"/>
        <v>1</v>
      </c>
    </row>
    <row r="140" spans="33:39" x14ac:dyDescent="0.35">
      <c r="AG140" s="122" t="s">
        <v>102</v>
      </c>
      <c r="AH140" s="122" t="s">
        <v>416</v>
      </c>
      <c r="AI140" s="122">
        <v>2023</v>
      </c>
      <c r="AJ140" s="122" t="str">
        <f t="shared" ref="AJ140:AL140" si="180">A28</f>
        <v>Rail</v>
      </c>
      <c r="AK140" s="122" t="str">
        <f t="shared" si="180"/>
        <v>Dry bulk</v>
      </c>
      <c r="AL140" s="122" t="str">
        <f t="shared" si="180"/>
        <v>Hydrogen</v>
      </c>
      <c r="AM140" s="132">
        <f t="shared" si="178"/>
        <v>1</v>
      </c>
    </row>
    <row r="141" spans="33:39" x14ac:dyDescent="0.35">
      <c r="AG141" s="122" t="s">
        <v>419</v>
      </c>
      <c r="AH141" s="122" t="s">
        <v>416</v>
      </c>
      <c r="AI141" s="122">
        <v>2023</v>
      </c>
      <c r="AJ141" s="122" t="str">
        <f t="shared" ref="AJ141:AL141" si="181">A29</f>
        <v>Rail</v>
      </c>
      <c r="AK141" s="122" t="str">
        <f t="shared" si="181"/>
        <v>Liquid bulk</v>
      </c>
      <c r="AL141" s="122" t="str">
        <f t="shared" si="181"/>
        <v>Diesel</v>
      </c>
      <c r="AM141" s="132">
        <f t="shared" si="178"/>
        <v>1</v>
      </c>
    </row>
    <row r="142" spans="33:39" x14ac:dyDescent="0.35">
      <c r="AG142" s="122" t="s">
        <v>419</v>
      </c>
      <c r="AH142" s="122" t="s">
        <v>416</v>
      </c>
      <c r="AI142" s="122">
        <v>2023</v>
      </c>
      <c r="AJ142" s="122" t="str">
        <f t="shared" ref="AJ142:AL142" si="182">A30</f>
        <v>Rail</v>
      </c>
      <c r="AK142" s="122" t="str">
        <f t="shared" si="182"/>
        <v>Liquid bulk</v>
      </c>
      <c r="AL142" s="122" t="str">
        <f t="shared" si="182"/>
        <v>Catenary</v>
      </c>
      <c r="AM142" s="132">
        <f t="shared" si="178"/>
        <v>1</v>
      </c>
    </row>
    <row r="143" spans="33:39" x14ac:dyDescent="0.35">
      <c r="AG143" s="122" t="s">
        <v>86</v>
      </c>
      <c r="AH143" s="122" t="s">
        <v>416</v>
      </c>
      <c r="AI143" s="122">
        <v>2023</v>
      </c>
      <c r="AJ143" s="122" t="str">
        <f t="shared" ref="AJ143:AL143" si="183">A31</f>
        <v>Rail</v>
      </c>
      <c r="AK143" s="122" t="str">
        <f t="shared" si="183"/>
        <v>Liquid bulk</v>
      </c>
      <c r="AL143" s="122" t="str">
        <f t="shared" si="183"/>
        <v>Battery</v>
      </c>
      <c r="AM143" s="132">
        <f t="shared" si="178"/>
        <v>1</v>
      </c>
    </row>
    <row r="144" spans="33:39" x14ac:dyDescent="0.35">
      <c r="AG144" s="122" t="s">
        <v>102</v>
      </c>
      <c r="AH144" s="122" t="s">
        <v>416</v>
      </c>
      <c r="AI144" s="122">
        <v>2023</v>
      </c>
      <c r="AJ144" s="122" t="str">
        <f t="shared" ref="AJ144:AL144" si="184">A32</f>
        <v>Rail</v>
      </c>
      <c r="AK144" s="122" t="str">
        <f t="shared" si="184"/>
        <v>Liquid bulk</v>
      </c>
      <c r="AL144" s="122" t="str">
        <f t="shared" si="184"/>
        <v>Hydrogen</v>
      </c>
      <c r="AM144" s="132">
        <f t="shared" si="178"/>
        <v>1</v>
      </c>
    </row>
    <row r="145" spans="33:39" x14ac:dyDescent="0.35">
      <c r="AG145" s="122" t="s">
        <v>419</v>
      </c>
      <c r="AH145" s="122" t="s">
        <v>416</v>
      </c>
      <c r="AI145" s="122">
        <v>2023</v>
      </c>
      <c r="AJ145" s="122" t="str">
        <f t="shared" ref="AJ145:AL145" si="185">A33</f>
        <v>Rail</v>
      </c>
      <c r="AK145" s="122" t="str">
        <f t="shared" si="185"/>
        <v>Container</v>
      </c>
      <c r="AL145" s="122" t="str">
        <f t="shared" si="185"/>
        <v>Diesel</v>
      </c>
      <c r="AM145" s="132">
        <f t="shared" si="178"/>
        <v>1</v>
      </c>
    </row>
    <row r="146" spans="33:39" x14ac:dyDescent="0.35">
      <c r="AG146" s="122" t="s">
        <v>419</v>
      </c>
      <c r="AH146" s="122" t="s">
        <v>416</v>
      </c>
      <c r="AI146" s="122">
        <v>2023</v>
      </c>
      <c r="AJ146" s="122" t="str">
        <f t="shared" ref="AJ146:AL146" si="186">A34</f>
        <v>Rail</v>
      </c>
      <c r="AK146" s="122" t="str">
        <f t="shared" si="186"/>
        <v>Container</v>
      </c>
      <c r="AL146" s="122" t="str">
        <f t="shared" si="186"/>
        <v>Catenary</v>
      </c>
      <c r="AM146" s="132">
        <f t="shared" si="178"/>
        <v>1</v>
      </c>
    </row>
    <row r="147" spans="33:39" x14ac:dyDescent="0.35">
      <c r="AG147" s="122" t="s">
        <v>86</v>
      </c>
      <c r="AH147" s="122" t="s">
        <v>416</v>
      </c>
      <c r="AI147" s="122">
        <v>2023</v>
      </c>
      <c r="AJ147" s="122" t="str">
        <f t="shared" ref="AJ147:AL147" si="187">A35</f>
        <v>Rail</v>
      </c>
      <c r="AK147" s="122" t="str">
        <f t="shared" si="187"/>
        <v>Container</v>
      </c>
      <c r="AL147" s="122" t="str">
        <f t="shared" si="187"/>
        <v>Battery</v>
      </c>
      <c r="AM147" s="132">
        <f t="shared" si="178"/>
        <v>1</v>
      </c>
    </row>
    <row r="148" spans="33:39" x14ac:dyDescent="0.35">
      <c r="AG148" s="122" t="s">
        <v>102</v>
      </c>
      <c r="AH148" s="122" t="s">
        <v>416</v>
      </c>
      <c r="AI148" s="122">
        <v>2023</v>
      </c>
      <c r="AJ148" s="122" t="str">
        <f t="shared" ref="AJ148:AL148" si="188">A36</f>
        <v>Rail</v>
      </c>
      <c r="AK148" s="122" t="str">
        <f t="shared" si="188"/>
        <v>Container</v>
      </c>
      <c r="AL148" s="122" t="str">
        <f t="shared" si="188"/>
        <v>Hydrogen</v>
      </c>
      <c r="AM148" s="132">
        <f t="shared" si="178"/>
        <v>1</v>
      </c>
    </row>
    <row r="149" spans="33:39" x14ac:dyDescent="0.35">
      <c r="AG149" s="122" t="s">
        <v>419</v>
      </c>
      <c r="AH149" s="122" t="s">
        <v>416</v>
      </c>
      <c r="AI149" s="122">
        <v>2023</v>
      </c>
      <c r="AJ149" s="122" t="str">
        <f t="shared" ref="AJ149:AL149" si="189">A37</f>
        <v>Rail</v>
      </c>
      <c r="AK149" s="122" t="str">
        <f t="shared" si="189"/>
        <v>Break bulk</v>
      </c>
      <c r="AL149" s="122" t="str">
        <f t="shared" si="189"/>
        <v>Diesel</v>
      </c>
      <c r="AM149" s="132">
        <f t="shared" si="178"/>
        <v>1</v>
      </c>
    </row>
    <row r="150" spans="33:39" x14ac:dyDescent="0.35">
      <c r="AG150" s="122" t="s">
        <v>419</v>
      </c>
      <c r="AH150" s="122" t="s">
        <v>416</v>
      </c>
      <c r="AI150" s="122">
        <v>2023</v>
      </c>
      <c r="AJ150" s="122" t="str">
        <f t="shared" ref="AJ150:AL150" si="190">A38</f>
        <v>Rail</v>
      </c>
      <c r="AK150" s="122" t="str">
        <f t="shared" si="190"/>
        <v>Break bulk</v>
      </c>
      <c r="AL150" s="122" t="str">
        <f t="shared" si="190"/>
        <v>Catenary</v>
      </c>
      <c r="AM150" s="132">
        <f t="shared" si="178"/>
        <v>1</v>
      </c>
    </row>
    <row r="151" spans="33:39" x14ac:dyDescent="0.35">
      <c r="AG151" s="122" t="s">
        <v>86</v>
      </c>
      <c r="AH151" s="122" t="s">
        <v>416</v>
      </c>
      <c r="AI151" s="122">
        <v>2023</v>
      </c>
      <c r="AJ151" s="122" t="str">
        <f t="shared" ref="AJ151:AL151" si="191">A39</f>
        <v>Rail</v>
      </c>
      <c r="AK151" s="122" t="str">
        <f t="shared" si="191"/>
        <v>Break bulk</v>
      </c>
      <c r="AL151" s="122" t="str">
        <f t="shared" si="191"/>
        <v>Battery</v>
      </c>
      <c r="AM151" s="132">
        <f t="shared" si="178"/>
        <v>1</v>
      </c>
    </row>
    <row r="152" spans="33:39" x14ac:dyDescent="0.35">
      <c r="AG152" s="122" t="s">
        <v>102</v>
      </c>
      <c r="AH152" s="122" t="s">
        <v>416</v>
      </c>
      <c r="AI152" s="122">
        <v>2023</v>
      </c>
      <c r="AJ152" s="122" t="str">
        <f t="shared" ref="AJ152:AL152" si="192">A40</f>
        <v>Rail</v>
      </c>
      <c r="AK152" s="122" t="str">
        <f t="shared" si="192"/>
        <v>Break bulk</v>
      </c>
      <c r="AL152" s="122" t="str">
        <f t="shared" si="192"/>
        <v>Hydrogen</v>
      </c>
      <c r="AM152" s="132">
        <f t="shared" si="178"/>
        <v>1</v>
      </c>
    </row>
    <row r="153" spans="33:39" x14ac:dyDescent="0.35">
      <c r="AG153" s="122" t="s">
        <v>419</v>
      </c>
      <c r="AH153" s="122" t="s">
        <v>416</v>
      </c>
      <c r="AI153" s="122">
        <v>2023</v>
      </c>
      <c r="AJ153" s="122" t="str">
        <f t="shared" ref="AJ153:AL153" si="193">A41</f>
        <v>Rail</v>
      </c>
      <c r="AK153" s="122" t="str">
        <f t="shared" si="193"/>
        <v>Neo bulk</v>
      </c>
      <c r="AL153" s="122" t="str">
        <f t="shared" si="193"/>
        <v>Diesel</v>
      </c>
      <c r="AM153" s="132">
        <f t="shared" si="178"/>
        <v>1</v>
      </c>
    </row>
    <row r="154" spans="33:39" x14ac:dyDescent="0.35">
      <c r="AG154" s="122" t="s">
        <v>419</v>
      </c>
      <c r="AH154" s="122" t="s">
        <v>416</v>
      </c>
      <c r="AI154" s="122">
        <v>2023</v>
      </c>
      <c r="AJ154" s="122" t="str">
        <f t="shared" ref="AJ154:AL154" si="194">A42</f>
        <v>Rail</v>
      </c>
      <c r="AK154" s="122" t="str">
        <f t="shared" si="194"/>
        <v>Neo bulk</v>
      </c>
      <c r="AL154" s="122" t="str">
        <f t="shared" si="194"/>
        <v>Catenary</v>
      </c>
      <c r="AM154" s="132">
        <f t="shared" si="178"/>
        <v>1</v>
      </c>
    </row>
    <row r="155" spans="33:39" x14ac:dyDescent="0.35">
      <c r="AG155" s="122" t="s">
        <v>86</v>
      </c>
      <c r="AH155" s="122" t="s">
        <v>416</v>
      </c>
      <c r="AI155" s="122">
        <v>2023</v>
      </c>
      <c r="AJ155" s="122" t="str">
        <f t="shared" ref="AJ155:AL155" si="195">A43</f>
        <v>Rail</v>
      </c>
      <c r="AK155" s="122" t="str">
        <f t="shared" si="195"/>
        <v>Neo bulk</v>
      </c>
      <c r="AL155" s="122" t="str">
        <f t="shared" si="195"/>
        <v>Battery</v>
      </c>
      <c r="AM155" s="132">
        <f t="shared" si="178"/>
        <v>1</v>
      </c>
    </row>
    <row r="156" spans="33:39" x14ac:dyDescent="0.35">
      <c r="AG156" s="122" t="s">
        <v>102</v>
      </c>
      <c r="AH156" s="122" t="s">
        <v>416</v>
      </c>
      <c r="AI156" s="122">
        <v>2023</v>
      </c>
      <c r="AJ156" s="122" t="str">
        <f t="shared" ref="AJ156:AL156" si="196">A44</f>
        <v>Rail</v>
      </c>
      <c r="AK156" s="122" t="str">
        <f t="shared" si="196"/>
        <v>Neo bulk</v>
      </c>
      <c r="AL156" s="122" t="str">
        <f t="shared" si="196"/>
        <v>Hydrogen</v>
      </c>
      <c r="AM156" s="132">
        <f t="shared" si="178"/>
        <v>1</v>
      </c>
    </row>
    <row r="157" spans="33:39" x14ac:dyDescent="0.35">
      <c r="AG157" s="122" t="s">
        <v>419</v>
      </c>
      <c r="AH157" s="122" t="s">
        <v>417</v>
      </c>
      <c r="AI157" s="122">
        <v>2023</v>
      </c>
      <c r="AJ157" s="122" t="str">
        <f>A25</f>
        <v>Rail</v>
      </c>
      <c r="AK157" s="122" t="str">
        <f>B25</f>
        <v>Dry bulk</v>
      </c>
      <c r="AL157" s="122" t="str">
        <f>C25</f>
        <v>Diesel</v>
      </c>
      <c r="AM157" s="132">
        <f>J25</f>
        <v>0.97560322033887004</v>
      </c>
    </row>
    <row r="158" spans="33:39" x14ac:dyDescent="0.35">
      <c r="AG158" s="122" t="s">
        <v>419</v>
      </c>
      <c r="AH158" s="122" t="s">
        <v>417</v>
      </c>
      <c r="AI158" s="122">
        <v>2023</v>
      </c>
      <c r="AJ158" s="122" t="str">
        <f t="shared" ref="AJ158:AL158" si="197">A26</f>
        <v>Rail</v>
      </c>
      <c r="AK158" s="122" t="str">
        <f t="shared" si="197"/>
        <v>Dry bulk</v>
      </c>
      <c r="AL158" s="122" t="str">
        <f t="shared" si="197"/>
        <v>Catenary</v>
      </c>
      <c r="AM158" s="132">
        <f t="shared" ref="AM158:AM176" si="198">J26</f>
        <v>0.98959809666762255</v>
      </c>
    </row>
    <row r="159" spans="33:39" x14ac:dyDescent="0.35">
      <c r="AG159" s="122" t="s">
        <v>86</v>
      </c>
      <c r="AH159" s="122" t="s">
        <v>417</v>
      </c>
      <c r="AI159" s="122">
        <v>2023</v>
      </c>
      <c r="AJ159" s="122" t="str">
        <f t="shared" ref="AJ159:AL159" si="199">A27</f>
        <v>Rail</v>
      </c>
      <c r="AK159" s="122" t="str">
        <f t="shared" si="199"/>
        <v>Dry bulk</v>
      </c>
      <c r="AL159" s="122" t="str">
        <f t="shared" si="199"/>
        <v>Battery</v>
      </c>
      <c r="AM159" s="132">
        <f t="shared" si="198"/>
        <v>0.99187203545265257</v>
      </c>
    </row>
    <row r="160" spans="33:39" x14ac:dyDescent="0.35">
      <c r="AG160" s="122" t="s">
        <v>102</v>
      </c>
      <c r="AH160" s="122" t="s">
        <v>417</v>
      </c>
      <c r="AI160" s="122">
        <v>2023</v>
      </c>
      <c r="AJ160" s="122" t="str">
        <f t="shared" ref="AJ160:AL160" si="200">A28</f>
        <v>Rail</v>
      </c>
      <c r="AK160" s="122" t="str">
        <f t="shared" si="200"/>
        <v>Dry bulk</v>
      </c>
      <c r="AL160" s="122" t="str">
        <f t="shared" si="200"/>
        <v>Hydrogen</v>
      </c>
      <c r="AM160" s="132">
        <f t="shared" si="198"/>
        <v>0.98555618553248037</v>
      </c>
    </row>
    <row r="161" spans="33:39" x14ac:dyDescent="0.35">
      <c r="AG161" s="122" t="s">
        <v>419</v>
      </c>
      <c r="AH161" s="122" t="s">
        <v>417</v>
      </c>
      <c r="AI161" s="122">
        <v>2023</v>
      </c>
      <c r="AJ161" s="122" t="str">
        <f t="shared" ref="AJ161:AL161" si="201">A29</f>
        <v>Rail</v>
      </c>
      <c r="AK161" s="122" t="str">
        <f t="shared" si="201"/>
        <v>Liquid bulk</v>
      </c>
      <c r="AL161" s="122" t="str">
        <f t="shared" si="201"/>
        <v>Diesel</v>
      </c>
      <c r="AM161" s="132">
        <f t="shared" si="198"/>
        <v>0.97578544697934166</v>
      </c>
    </row>
    <row r="162" spans="33:39" x14ac:dyDescent="0.35">
      <c r="AG162" s="122" t="s">
        <v>419</v>
      </c>
      <c r="AH162" s="122" t="s">
        <v>417</v>
      </c>
      <c r="AI162" s="122">
        <v>2023</v>
      </c>
      <c r="AJ162" s="122" t="str">
        <f t="shared" ref="AJ162:AL162" si="202">A30</f>
        <v>Rail</v>
      </c>
      <c r="AK162" s="122" t="str">
        <f t="shared" si="202"/>
        <v>Liquid bulk</v>
      </c>
      <c r="AL162" s="122" t="str">
        <f t="shared" si="202"/>
        <v>Catenary</v>
      </c>
      <c r="AM162" s="132">
        <f t="shared" si="198"/>
        <v>0.98969351470431755</v>
      </c>
    </row>
    <row r="163" spans="33:39" x14ac:dyDescent="0.35">
      <c r="AG163" s="122" t="s">
        <v>86</v>
      </c>
      <c r="AH163" s="122" t="s">
        <v>417</v>
      </c>
      <c r="AI163" s="122">
        <v>2023</v>
      </c>
      <c r="AJ163" s="122" t="str">
        <f t="shared" ref="AJ163:AL163" si="203">A31</f>
        <v>Rail</v>
      </c>
      <c r="AK163" s="122" t="str">
        <f t="shared" si="203"/>
        <v>Liquid bulk</v>
      </c>
      <c r="AL163" s="122" t="str">
        <f t="shared" si="203"/>
        <v>Battery</v>
      </c>
      <c r="AM163" s="132">
        <f t="shared" si="198"/>
        <v>0.99192666048633926</v>
      </c>
    </row>
    <row r="164" spans="33:39" x14ac:dyDescent="0.35">
      <c r="AG164" s="122" t="s">
        <v>102</v>
      </c>
      <c r="AH164" s="122" t="s">
        <v>417</v>
      </c>
      <c r="AI164" s="122">
        <v>2023</v>
      </c>
      <c r="AJ164" s="122" t="str">
        <f t="shared" ref="AJ164:AL164" si="204">A32</f>
        <v>Rail</v>
      </c>
      <c r="AK164" s="122" t="str">
        <f t="shared" si="204"/>
        <v>Liquid bulk</v>
      </c>
      <c r="AL164" s="122" t="str">
        <f t="shared" si="204"/>
        <v>Hydrogen</v>
      </c>
      <c r="AM164" s="132">
        <f t="shared" si="198"/>
        <v>0.98563303886617049</v>
      </c>
    </row>
    <row r="165" spans="33:39" x14ac:dyDescent="0.35">
      <c r="AG165" s="122" t="s">
        <v>419</v>
      </c>
      <c r="AH165" s="122" t="s">
        <v>417</v>
      </c>
      <c r="AI165" s="122">
        <v>2023</v>
      </c>
      <c r="AJ165" s="122" t="str">
        <f t="shared" ref="AJ165:AL165" si="205">A33</f>
        <v>Rail</v>
      </c>
      <c r="AK165" s="122" t="str">
        <f t="shared" si="205"/>
        <v>Container</v>
      </c>
      <c r="AL165" s="122" t="str">
        <f t="shared" si="205"/>
        <v>Diesel</v>
      </c>
      <c r="AM165" s="132">
        <f t="shared" si="198"/>
        <v>0.9743646957546509</v>
      </c>
    </row>
    <row r="166" spans="33:39" x14ac:dyDescent="0.35">
      <c r="AG166" s="122" t="s">
        <v>419</v>
      </c>
      <c r="AH166" s="122" t="s">
        <v>417</v>
      </c>
      <c r="AI166" s="122">
        <v>2023</v>
      </c>
      <c r="AJ166" s="122" t="str">
        <f t="shared" ref="AJ166:AL166" si="206">A34</f>
        <v>Rail</v>
      </c>
      <c r="AK166" s="122" t="str">
        <f t="shared" si="206"/>
        <v>Container</v>
      </c>
      <c r="AL166" s="122" t="str">
        <f t="shared" si="206"/>
        <v>Catenary</v>
      </c>
      <c r="AM166" s="132">
        <f t="shared" si="198"/>
        <v>0.9889407792200865</v>
      </c>
    </row>
    <row r="167" spans="33:39" x14ac:dyDescent="0.35">
      <c r="AG167" s="122" t="s">
        <v>86</v>
      </c>
      <c r="AH167" s="122" t="s">
        <v>417</v>
      </c>
      <c r="AI167" s="122">
        <v>2023</v>
      </c>
      <c r="AJ167" s="122" t="str">
        <f t="shared" ref="AJ167:AL167" si="207">A35</f>
        <v>Rail</v>
      </c>
      <c r="AK167" s="122" t="str">
        <f t="shared" si="207"/>
        <v>Container</v>
      </c>
      <c r="AL167" s="122" t="str">
        <f t="shared" si="207"/>
        <v>Battery</v>
      </c>
      <c r="AM167" s="132">
        <f t="shared" si="198"/>
        <v>0.99149985622352643</v>
      </c>
    </row>
    <row r="168" spans="33:39" x14ac:dyDescent="0.35">
      <c r="AG168" s="122" t="s">
        <v>102</v>
      </c>
      <c r="AH168" s="122" t="s">
        <v>417</v>
      </c>
      <c r="AI168" s="122">
        <v>2023</v>
      </c>
      <c r="AJ168" s="122" t="str">
        <f t="shared" ref="AJ168:AL168" si="208">A36</f>
        <v>Rail</v>
      </c>
      <c r="AK168" s="122" t="str">
        <f t="shared" si="208"/>
        <v>Container</v>
      </c>
      <c r="AL168" s="122" t="str">
        <f t="shared" si="208"/>
        <v>Hydrogen</v>
      </c>
      <c r="AM168" s="132">
        <f t="shared" si="198"/>
        <v>0.98504038224393664</v>
      </c>
    </row>
    <row r="169" spans="33:39" x14ac:dyDescent="0.35">
      <c r="AG169" s="122" t="s">
        <v>419</v>
      </c>
      <c r="AH169" s="122" t="s">
        <v>417</v>
      </c>
      <c r="AI169" s="122">
        <v>2023</v>
      </c>
      <c r="AJ169" s="122" t="str">
        <f t="shared" ref="AJ169:AL169" si="209">A37</f>
        <v>Rail</v>
      </c>
      <c r="AK169" s="122" t="str">
        <f t="shared" si="209"/>
        <v>Break bulk</v>
      </c>
      <c r="AL169" s="122" t="str">
        <f t="shared" si="209"/>
        <v>Diesel</v>
      </c>
      <c r="AM169" s="132">
        <f t="shared" si="198"/>
        <v>0.98307035983379165</v>
      </c>
    </row>
    <row r="170" spans="33:39" x14ac:dyDescent="0.35">
      <c r="AG170" s="122" t="s">
        <v>419</v>
      </c>
      <c r="AH170" s="122" t="s">
        <v>417</v>
      </c>
      <c r="AI170" s="122">
        <v>2023</v>
      </c>
      <c r="AJ170" s="122" t="str">
        <f t="shared" ref="AJ170:AL170" si="210">A38</f>
        <v>Rail</v>
      </c>
      <c r="AK170" s="122" t="str">
        <f t="shared" si="210"/>
        <v>Break bulk</v>
      </c>
      <c r="AL170" s="122" t="str">
        <f t="shared" si="210"/>
        <v>Catenary</v>
      </c>
      <c r="AM170" s="132">
        <f t="shared" si="198"/>
        <v>0.99325696306799649</v>
      </c>
    </row>
    <row r="171" spans="33:39" x14ac:dyDescent="0.35">
      <c r="AG171" s="122" t="s">
        <v>86</v>
      </c>
      <c r="AH171" s="122" t="s">
        <v>417</v>
      </c>
      <c r="AI171" s="122">
        <v>2023</v>
      </c>
      <c r="AJ171" s="122" t="str">
        <f t="shared" ref="AJ171:AL171" si="211">A39</f>
        <v>Rail</v>
      </c>
      <c r="AK171" s="122" t="str">
        <f t="shared" si="211"/>
        <v>Break bulk</v>
      </c>
      <c r="AL171" s="122" t="str">
        <f t="shared" si="211"/>
        <v>Battery</v>
      </c>
      <c r="AM171" s="132">
        <f t="shared" si="198"/>
        <v>0.99419049795111536</v>
      </c>
    </row>
    <row r="172" spans="33:39" x14ac:dyDescent="0.35">
      <c r="AG172" s="122" t="s">
        <v>102</v>
      </c>
      <c r="AH172" s="122" t="s">
        <v>417</v>
      </c>
      <c r="AI172" s="122">
        <v>2023</v>
      </c>
      <c r="AJ172" s="122" t="str">
        <f t="shared" ref="AJ172:AL172" si="212">A40</f>
        <v>Rail</v>
      </c>
      <c r="AK172" s="122" t="str">
        <f t="shared" si="212"/>
        <v>Break bulk</v>
      </c>
      <c r="AL172" s="122" t="str">
        <f t="shared" si="212"/>
        <v>Hydrogen</v>
      </c>
      <c r="AM172" s="132">
        <f t="shared" si="198"/>
        <v>0.98901211475016382</v>
      </c>
    </row>
    <row r="173" spans="33:39" x14ac:dyDescent="0.35">
      <c r="AG173" s="122" t="s">
        <v>419</v>
      </c>
      <c r="AH173" s="122" t="s">
        <v>417</v>
      </c>
      <c r="AI173" s="122">
        <v>2023</v>
      </c>
      <c r="AJ173" s="122" t="str">
        <f t="shared" ref="AJ173:AL173" si="213">A41</f>
        <v>Rail</v>
      </c>
      <c r="AK173" s="122" t="str">
        <f t="shared" si="213"/>
        <v>Neo bulk</v>
      </c>
      <c r="AL173" s="122" t="str">
        <f t="shared" si="213"/>
        <v>Diesel</v>
      </c>
      <c r="AM173" s="132">
        <f t="shared" si="198"/>
        <v>0.97533049739761191</v>
      </c>
    </row>
    <row r="174" spans="33:39" x14ac:dyDescent="0.35">
      <c r="AG174" s="122" t="s">
        <v>419</v>
      </c>
      <c r="AH174" s="122" t="s">
        <v>417</v>
      </c>
      <c r="AI174" s="122">
        <v>2023</v>
      </c>
      <c r="AJ174" s="122" t="str">
        <f t="shared" ref="AJ174:AL174" si="214">A42</f>
        <v>Rail</v>
      </c>
      <c r="AK174" s="122" t="str">
        <f t="shared" si="214"/>
        <v>Neo bulk</v>
      </c>
      <c r="AL174" s="122" t="str">
        <f t="shared" si="214"/>
        <v>Catenary</v>
      </c>
      <c r="AM174" s="132">
        <f t="shared" si="198"/>
        <v>0.9894546780276956</v>
      </c>
    </row>
    <row r="175" spans="33:39" x14ac:dyDescent="0.35">
      <c r="AG175" s="122" t="s">
        <v>86</v>
      </c>
      <c r="AH175" s="122" t="s">
        <v>417</v>
      </c>
      <c r="AI175" s="122">
        <v>2023</v>
      </c>
      <c r="AJ175" s="122" t="str">
        <f t="shared" ref="AJ175:AL175" si="215">A43</f>
        <v>Rail</v>
      </c>
      <c r="AK175" s="122" t="str">
        <f t="shared" si="215"/>
        <v>Neo bulk</v>
      </c>
      <c r="AL175" s="122" t="str">
        <f t="shared" si="215"/>
        <v>Battery</v>
      </c>
      <c r="AM175" s="132">
        <f t="shared" si="198"/>
        <v>0.99178920979474661</v>
      </c>
    </row>
    <row r="176" spans="33:39" x14ac:dyDescent="0.35">
      <c r="AG176" s="122" t="s">
        <v>102</v>
      </c>
      <c r="AH176" s="122" t="s">
        <v>417</v>
      </c>
      <c r="AI176" s="122">
        <v>2023</v>
      </c>
      <c r="AJ176" s="122" t="str">
        <f t="shared" ref="AJ176:AL176" si="216">A44</f>
        <v>Rail</v>
      </c>
      <c r="AK176" s="122" t="str">
        <f t="shared" si="216"/>
        <v>Neo bulk</v>
      </c>
      <c r="AL176" s="122" t="str">
        <f t="shared" si="216"/>
        <v>Hydrogen</v>
      </c>
      <c r="AM176" s="132">
        <f t="shared" si="198"/>
        <v>0.98544092602326894</v>
      </c>
    </row>
    <row r="177" spans="33:39" x14ac:dyDescent="0.35">
      <c r="AG177" s="122" t="s">
        <v>419</v>
      </c>
      <c r="AH177" s="122" t="s">
        <v>418</v>
      </c>
      <c r="AI177" s="122">
        <v>2023</v>
      </c>
      <c r="AJ177" s="122" t="str">
        <f>A25</f>
        <v>Rail</v>
      </c>
      <c r="AK177" s="122" t="str">
        <f>B25</f>
        <v>Dry bulk</v>
      </c>
      <c r="AL177" s="122" t="str">
        <f>C25</f>
        <v>Diesel</v>
      </c>
      <c r="AM177" s="132">
        <f>K25</f>
        <v>1.0083863930085133</v>
      </c>
    </row>
    <row r="178" spans="33:39" x14ac:dyDescent="0.35">
      <c r="AG178" s="122" t="s">
        <v>419</v>
      </c>
      <c r="AH178" s="122" t="s">
        <v>418</v>
      </c>
      <c r="AI178" s="122">
        <v>2023</v>
      </c>
      <c r="AJ178" s="122" t="str">
        <f t="shared" ref="AJ178:AL178" si="217">A26</f>
        <v>Rail</v>
      </c>
      <c r="AK178" s="122" t="str">
        <f t="shared" si="217"/>
        <v>Dry bulk</v>
      </c>
      <c r="AL178" s="122" t="str">
        <f t="shared" si="217"/>
        <v>Catenary</v>
      </c>
      <c r="AM178" s="132">
        <f t="shared" ref="AM178:AM196" si="218">K26</f>
        <v>1.0237500104987809</v>
      </c>
    </row>
    <row r="179" spans="33:39" x14ac:dyDescent="0.35">
      <c r="AG179" s="122" t="s">
        <v>86</v>
      </c>
      <c r="AH179" s="122" t="s">
        <v>418</v>
      </c>
      <c r="AI179" s="122">
        <v>2023</v>
      </c>
      <c r="AJ179" s="122" t="str">
        <f t="shared" ref="AJ179:AL179" si="219">A27</f>
        <v>Rail</v>
      </c>
      <c r="AK179" s="122" t="str">
        <f t="shared" si="219"/>
        <v>Dry bulk</v>
      </c>
      <c r="AL179" s="122" t="str">
        <f t="shared" si="219"/>
        <v>Battery</v>
      </c>
      <c r="AM179" s="132">
        <f t="shared" si="218"/>
        <v>1.0185580693422105</v>
      </c>
    </row>
    <row r="180" spans="33:39" x14ac:dyDescent="0.35">
      <c r="AG180" s="122" t="s">
        <v>102</v>
      </c>
      <c r="AH180" s="122" t="s">
        <v>418</v>
      </c>
      <c r="AI180" s="122">
        <v>2023</v>
      </c>
      <c r="AJ180" s="122" t="str">
        <f t="shared" ref="AJ180:AL180" si="220">A28</f>
        <v>Rail</v>
      </c>
      <c r="AK180" s="122" t="str">
        <f t="shared" si="220"/>
        <v>Dry bulk</v>
      </c>
      <c r="AL180" s="122" t="str">
        <f t="shared" si="220"/>
        <v>Hydrogen</v>
      </c>
      <c r="AM180" s="132">
        <f t="shared" si="218"/>
        <v>1.0329786515298851</v>
      </c>
    </row>
    <row r="181" spans="33:39" x14ac:dyDescent="0.35">
      <c r="AG181" s="122" t="s">
        <v>419</v>
      </c>
      <c r="AH181" s="122" t="s">
        <v>418</v>
      </c>
      <c r="AI181" s="122">
        <v>2023</v>
      </c>
      <c r="AJ181" s="122" t="str">
        <f t="shared" ref="AJ181:AL181" si="221">A29</f>
        <v>Rail</v>
      </c>
      <c r="AK181" s="122" t="str">
        <f t="shared" si="221"/>
        <v>Liquid bulk</v>
      </c>
      <c r="AL181" s="122" t="str">
        <f t="shared" si="221"/>
        <v>Diesel</v>
      </c>
      <c r="AM181" s="132">
        <f t="shared" si="218"/>
        <v>1.0083237526008513</v>
      </c>
    </row>
    <row r="182" spans="33:39" x14ac:dyDescent="0.35">
      <c r="AG182" s="122" t="s">
        <v>419</v>
      </c>
      <c r="AH182" s="122" t="s">
        <v>418</v>
      </c>
      <c r="AI182" s="122">
        <v>2023</v>
      </c>
      <c r="AJ182" s="122" t="str">
        <f t="shared" ref="AJ182:AL182" si="222">A30</f>
        <v>Rail</v>
      </c>
      <c r="AK182" s="122" t="str">
        <f t="shared" si="222"/>
        <v>Liquid bulk</v>
      </c>
      <c r="AL182" s="122" t="str">
        <f t="shared" si="222"/>
        <v>Catenary</v>
      </c>
      <c r="AM182" s="132">
        <f t="shared" si="218"/>
        <v>1.0235321485074833</v>
      </c>
    </row>
    <row r="183" spans="33:39" x14ac:dyDescent="0.35">
      <c r="AG183" s="122" t="s">
        <v>86</v>
      </c>
      <c r="AH183" s="122" t="s">
        <v>418</v>
      </c>
      <c r="AI183" s="122">
        <v>2023</v>
      </c>
      <c r="AJ183" s="122" t="str">
        <f t="shared" ref="AJ183:AL183" si="223">A31</f>
        <v>Rail</v>
      </c>
      <c r="AK183" s="122" t="str">
        <f t="shared" si="223"/>
        <v>Liquid bulk</v>
      </c>
      <c r="AL183" s="122" t="str">
        <f t="shared" si="223"/>
        <v>Battery</v>
      </c>
      <c r="AM183" s="132">
        <f t="shared" si="218"/>
        <v>1.0184333474444862</v>
      </c>
    </row>
    <row r="184" spans="33:39" x14ac:dyDescent="0.35">
      <c r="AG184" s="122" t="s">
        <v>102</v>
      </c>
      <c r="AH184" s="122" t="s">
        <v>418</v>
      </c>
      <c r="AI184" s="122">
        <v>2023</v>
      </c>
      <c r="AJ184" s="122" t="str">
        <f t="shared" ref="AJ184:AL184" si="224">A32</f>
        <v>Rail</v>
      </c>
      <c r="AK184" s="122" t="str">
        <f t="shared" si="224"/>
        <v>Liquid bulk</v>
      </c>
      <c r="AL184" s="122" t="str">
        <f t="shared" si="224"/>
        <v>Hydrogen</v>
      </c>
      <c r="AM184" s="132">
        <f t="shared" si="218"/>
        <v>1.0328031771552757</v>
      </c>
    </row>
    <row r="185" spans="33:39" x14ac:dyDescent="0.35">
      <c r="AG185" s="122" t="s">
        <v>419</v>
      </c>
      <c r="AH185" s="122" t="s">
        <v>418</v>
      </c>
      <c r="AI185" s="122">
        <v>2023</v>
      </c>
      <c r="AJ185" s="122" t="str">
        <f t="shared" ref="AJ185:AL185" si="225">A33</f>
        <v>Rail</v>
      </c>
      <c r="AK185" s="122" t="str">
        <f t="shared" si="225"/>
        <v>Container</v>
      </c>
      <c r="AL185" s="122" t="str">
        <f t="shared" si="225"/>
        <v>Diesel</v>
      </c>
      <c r="AM185" s="132">
        <f t="shared" si="218"/>
        <v>1.0088121358343387</v>
      </c>
    </row>
    <row r="186" spans="33:39" x14ac:dyDescent="0.35">
      <c r="AG186" s="122" t="s">
        <v>419</v>
      </c>
      <c r="AH186" s="122" t="s">
        <v>418</v>
      </c>
      <c r="AI186" s="122">
        <v>2023</v>
      </c>
      <c r="AJ186" s="122" t="str">
        <f t="shared" ref="AJ186:AL186" si="226">A34</f>
        <v>Rail</v>
      </c>
      <c r="AK186" s="122" t="str">
        <f t="shared" si="226"/>
        <v>Container</v>
      </c>
      <c r="AL186" s="122" t="str">
        <f t="shared" si="226"/>
        <v>Catenary</v>
      </c>
      <c r="AM186" s="132">
        <f t="shared" si="218"/>
        <v>1.0252508220119414</v>
      </c>
    </row>
    <row r="187" spans="33:39" x14ac:dyDescent="0.35">
      <c r="AG187" s="122" t="s">
        <v>86</v>
      </c>
      <c r="AH187" s="122" t="s">
        <v>418</v>
      </c>
      <c r="AI187" s="122">
        <v>2023</v>
      </c>
      <c r="AJ187" s="122" t="str">
        <f t="shared" ref="AJ187:AL187" si="227">A35</f>
        <v>Rail</v>
      </c>
      <c r="AK187" s="122" t="str">
        <f t="shared" si="227"/>
        <v>Container</v>
      </c>
      <c r="AL187" s="122" t="str">
        <f t="shared" si="227"/>
        <v>Battery</v>
      </c>
      <c r="AM187" s="132">
        <f t="shared" si="218"/>
        <v>1.0194078427266304</v>
      </c>
    </row>
    <row r="188" spans="33:39" x14ac:dyDescent="0.35">
      <c r="AG188" s="122" t="s">
        <v>102</v>
      </c>
      <c r="AH188" s="122" t="s">
        <v>418</v>
      </c>
      <c r="AI188" s="122">
        <v>2023</v>
      </c>
      <c r="AJ188" s="122" t="str">
        <f t="shared" ref="AJ188:AL188" si="228">A36</f>
        <v>Rail</v>
      </c>
      <c r="AK188" s="122" t="str">
        <f t="shared" si="228"/>
        <v>Container</v>
      </c>
      <c r="AL188" s="122" t="str">
        <f t="shared" si="228"/>
        <v>Hydrogen</v>
      </c>
      <c r="AM188" s="132">
        <f t="shared" si="218"/>
        <v>1.0341563526800288</v>
      </c>
    </row>
    <row r="189" spans="33:39" x14ac:dyDescent="0.35">
      <c r="AG189" s="122" t="s">
        <v>419</v>
      </c>
      <c r="AH189" s="122" t="s">
        <v>418</v>
      </c>
      <c r="AI189" s="122">
        <v>2023</v>
      </c>
      <c r="AJ189" s="122" t="str">
        <f t="shared" ref="AJ189:AL189" si="229">A37</f>
        <v>Rail</v>
      </c>
      <c r="AK189" s="122" t="str">
        <f t="shared" si="229"/>
        <v>Break bulk</v>
      </c>
      <c r="AL189" s="122" t="str">
        <f t="shared" si="229"/>
        <v>Diesel</v>
      </c>
      <c r="AM189" s="132">
        <f t="shared" si="218"/>
        <v>1.0058195638071343</v>
      </c>
    </row>
    <row r="190" spans="33:39" x14ac:dyDescent="0.35">
      <c r="AG190" s="122" t="s">
        <v>419</v>
      </c>
      <c r="AH190" s="122" t="s">
        <v>418</v>
      </c>
      <c r="AI190" s="122">
        <v>2023</v>
      </c>
      <c r="AJ190" s="122" t="str">
        <f t="shared" ref="AJ190:AL190" si="230">A38</f>
        <v>Rail</v>
      </c>
      <c r="AK190" s="122" t="str">
        <f t="shared" si="230"/>
        <v>Break bulk</v>
      </c>
      <c r="AL190" s="122" t="str">
        <f t="shared" si="230"/>
        <v>Catenary</v>
      </c>
      <c r="AM190" s="132">
        <f t="shared" si="218"/>
        <v>1.0153959513765396</v>
      </c>
    </row>
    <row r="191" spans="33:39" x14ac:dyDescent="0.35">
      <c r="AG191" s="122" t="s">
        <v>86</v>
      </c>
      <c r="AH191" s="122" t="s">
        <v>418</v>
      </c>
      <c r="AI191" s="122">
        <v>2023</v>
      </c>
      <c r="AJ191" s="122" t="str">
        <f t="shared" ref="AJ191:AL191" si="231">A39</f>
        <v>Rail</v>
      </c>
      <c r="AK191" s="122" t="str">
        <f t="shared" si="231"/>
        <v>Break bulk</v>
      </c>
      <c r="AL191" s="122" t="str">
        <f t="shared" si="231"/>
        <v>Battery</v>
      </c>
      <c r="AM191" s="132">
        <f t="shared" si="218"/>
        <v>1.0132644699960081</v>
      </c>
    </row>
    <row r="192" spans="33:39" x14ac:dyDescent="0.35">
      <c r="AG192" s="122" t="s">
        <v>102</v>
      </c>
      <c r="AH192" s="122" t="s">
        <v>418</v>
      </c>
      <c r="AI192" s="122">
        <v>2023</v>
      </c>
      <c r="AJ192" s="122" t="str">
        <f t="shared" ref="AJ192:AL192" si="232">A40</f>
        <v>Rail</v>
      </c>
      <c r="AK192" s="122" t="str">
        <f t="shared" si="232"/>
        <v>Break bulk</v>
      </c>
      <c r="AL192" s="122" t="str">
        <f t="shared" si="232"/>
        <v>Hydrogen</v>
      </c>
      <c r="AM192" s="132">
        <f t="shared" si="218"/>
        <v>1.0250879460906666</v>
      </c>
    </row>
    <row r="193" spans="33:39" x14ac:dyDescent="0.35">
      <c r="AG193" s="122" t="s">
        <v>419</v>
      </c>
      <c r="AH193" s="122" t="s">
        <v>418</v>
      </c>
      <c r="AI193" s="122">
        <v>2023</v>
      </c>
      <c r="AJ193" s="122" t="str">
        <f t="shared" ref="AJ193:AL193" si="233">A41</f>
        <v>Rail</v>
      </c>
      <c r="AK193" s="122" t="str">
        <f t="shared" si="233"/>
        <v>Neo bulk</v>
      </c>
      <c r="AL193" s="122" t="str">
        <f t="shared" si="233"/>
        <v>Diesel</v>
      </c>
      <c r="AM193" s="132">
        <f t="shared" si="218"/>
        <v>1.008480141519571</v>
      </c>
    </row>
    <row r="194" spans="33:39" x14ac:dyDescent="0.35">
      <c r="AG194" s="122" t="s">
        <v>419</v>
      </c>
      <c r="AH194" s="122" t="s">
        <v>418</v>
      </c>
      <c r="AI194" s="122">
        <v>2023</v>
      </c>
      <c r="AJ194" s="122" t="str">
        <f t="shared" ref="AJ194:AL194" si="234">A42</f>
        <v>Rail</v>
      </c>
      <c r="AK194" s="122" t="str">
        <f t="shared" si="234"/>
        <v>Neo bulk</v>
      </c>
      <c r="AL194" s="122" t="str">
        <f t="shared" si="234"/>
        <v>Catenary</v>
      </c>
      <c r="AM194" s="132">
        <f t="shared" si="218"/>
        <v>1.0240774692431227</v>
      </c>
    </row>
    <row r="195" spans="33:39" x14ac:dyDescent="0.35">
      <c r="AG195" s="122" t="s">
        <v>86</v>
      </c>
      <c r="AH195" s="122" t="s">
        <v>418</v>
      </c>
      <c r="AI195" s="122">
        <v>2023</v>
      </c>
      <c r="AJ195" s="122" t="str">
        <f t="shared" ref="AJ195:AL195" si="235">A43</f>
        <v>Rail</v>
      </c>
      <c r="AK195" s="122" t="str">
        <f t="shared" si="235"/>
        <v>Neo bulk</v>
      </c>
      <c r="AL195" s="122" t="str">
        <f t="shared" si="235"/>
        <v>Battery</v>
      </c>
      <c r="AM195" s="132">
        <f t="shared" si="218"/>
        <v>1.0187471799484111</v>
      </c>
    </row>
    <row r="196" spans="33:39" x14ac:dyDescent="0.35">
      <c r="AG196" s="122" t="s">
        <v>102</v>
      </c>
      <c r="AH196" s="122" t="s">
        <v>418</v>
      </c>
      <c r="AI196" s="122">
        <v>2023</v>
      </c>
      <c r="AJ196" s="122" t="str">
        <f t="shared" ref="AJ196:AL196" si="236">A44</f>
        <v>Rail</v>
      </c>
      <c r="AK196" s="122" t="str">
        <f t="shared" si="236"/>
        <v>Neo bulk</v>
      </c>
      <c r="AL196" s="122" t="str">
        <f t="shared" si="236"/>
        <v>Hydrogen</v>
      </c>
      <c r="AM196" s="132">
        <f t="shared" si="218"/>
        <v>1.033241816305253</v>
      </c>
    </row>
    <row r="197" spans="33:39" x14ac:dyDescent="0.35">
      <c r="AG197" s="122" t="s">
        <v>419</v>
      </c>
      <c r="AH197" s="122" t="s">
        <v>416</v>
      </c>
      <c r="AI197" s="122">
        <v>2034</v>
      </c>
      <c r="AJ197" s="122" t="str">
        <f>A25</f>
        <v>Rail</v>
      </c>
      <c r="AK197" s="122" t="str">
        <f>B25</f>
        <v>Dry bulk</v>
      </c>
      <c r="AL197" s="122" t="str">
        <f>C25</f>
        <v>Diesel</v>
      </c>
      <c r="AM197" s="132">
        <f>R25</f>
        <v>1</v>
      </c>
    </row>
    <row r="198" spans="33:39" x14ac:dyDescent="0.35">
      <c r="AG198" s="122" t="s">
        <v>419</v>
      </c>
      <c r="AH198" s="122" t="s">
        <v>416</v>
      </c>
      <c r="AI198" s="122">
        <v>2034</v>
      </c>
      <c r="AJ198" s="122" t="str">
        <f t="shared" ref="AJ198:AL198" si="237">A26</f>
        <v>Rail</v>
      </c>
      <c r="AK198" s="122" t="str">
        <f t="shared" si="237"/>
        <v>Dry bulk</v>
      </c>
      <c r="AL198" s="122" t="str">
        <f t="shared" si="237"/>
        <v>Catenary</v>
      </c>
      <c r="AM198" s="132">
        <f t="shared" ref="AM198:AM214" si="238">R26</f>
        <v>1</v>
      </c>
    </row>
    <row r="199" spans="33:39" x14ac:dyDescent="0.35">
      <c r="AG199" s="122" t="s">
        <v>86</v>
      </c>
      <c r="AH199" s="122" t="s">
        <v>416</v>
      </c>
      <c r="AI199" s="122">
        <v>2034</v>
      </c>
      <c r="AJ199" s="122" t="str">
        <f t="shared" ref="AJ199:AL199" si="239">A27</f>
        <v>Rail</v>
      </c>
      <c r="AK199" s="122" t="str">
        <f t="shared" si="239"/>
        <v>Dry bulk</v>
      </c>
      <c r="AL199" s="122" t="str">
        <f t="shared" si="239"/>
        <v>Battery</v>
      </c>
      <c r="AM199" s="132">
        <f t="shared" si="238"/>
        <v>1</v>
      </c>
    </row>
    <row r="200" spans="33:39" x14ac:dyDescent="0.35">
      <c r="AG200" s="122" t="s">
        <v>102</v>
      </c>
      <c r="AH200" s="122" t="s">
        <v>416</v>
      </c>
      <c r="AI200" s="122">
        <v>2034</v>
      </c>
      <c r="AJ200" s="122" t="str">
        <f t="shared" ref="AJ200:AL200" si="240">A28</f>
        <v>Rail</v>
      </c>
      <c r="AK200" s="122" t="str">
        <f t="shared" si="240"/>
        <v>Dry bulk</v>
      </c>
      <c r="AL200" s="122" t="str">
        <f t="shared" si="240"/>
        <v>Hydrogen</v>
      </c>
      <c r="AM200" s="132">
        <f t="shared" si="238"/>
        <v>1</v>
      </c>
    </row>
    <row r="201" spans="33:39" x14ac:dyDescent="0.35">
      <c r="AG201" s="122" t="s">
        <v>419</v>
      </c>
      <c r="AH201" s="122" t="s">
        <v>416</v>
      </c>
      <c r="AI201" s="122">
        <v>2034</v>
      </c>
      <c r="AJ201" s="122" t="str">
        <f t="shared" ref="AJ201:AL201" si="241">A29</f>
        <v>Rail</v>
      </c>
      <c r="AK201" s="122" t="str">
        <f t="shared" si="241"/>
        <v>Liquid bulk</v>
      </c>
      <c r="AL201" s="122" t="str">
        <f t="shared" si="241"/>
        <v>Diesel</v>
      </c>
      <c r="AM201" s="132">
        <f t="shared" si="238"/>
        <v>1</v>
      </c>
    </row>
    <row r="202" spans="33:39" x14ac:dyDescent="0.35">
      <c r="AG202" s="122" t="s">
        <v>419</v>
      </c>
      <c r="AH202" s="122" t="s">
        <v>416</v>
      </c>
      <c r="AI202" s="122">
        <v>2034</v>
      </c>
      <c r="AJ202" s="122" t="str">
        <f t="shared" ref="AJ202:AL202" si="242">A30</f>
        <v>Rail</v>
      </c>
      <c r="AK202" s="122" t="str">
        <f t="shared" si="242"/>
        <v>Liquid bulk</v>
      </c>
      <c r="AL202" s="122" t="str">
        <f t="shared" si="242"/>
        <v>Catenary</v>
      </c>
      <c r="AM202" s="132">
        <f t="shared" si="238"/>
        <v>1</v>
      </c>
    </row>
    <row r="203" spans="33:39" x14ac:dyDescent="0.35">
      <c r="AG203" s="122" t="s">
        <v>86</v>
      </c>
      <c r="AH203" s="122" t="s">
        <v>416</v>
      </c>
      <c r="AI203" s="122">
        <v>2034</v>
      </c>
      <c r="AJ203" s="122" t="str">
        <f t="shared" ref="AJ203:AL203" si="243">A31</f>
        <v>Rail</v>
      </c>
      <c r="AK203" s="122" t="str">
        <f t="shared" si="243"/>
        <v>Liquid bulk</v>
      </c>
      <c r="AL203" s="122" t="str">
        <f t="shared" si="243"/>
        <v>Battery</v>
      </c>
      <c r="AM203" s="132">
        <f t="shared" si="238"/>
        <v>1</v>
      </c>
    </row>
    <row r="204" spans="33:39" x14ac:dyDescent="0.35">
      <c r="AG204" s="122" t="s">
        <v>102</v>
      </c>
      <c r="AH204" s="122" t="s">
        <v>416</v>
      </c>
      <c r="AI204" s="122">
        <v>2034</v>
      </c>
      <c r="AJ204" s="122" t="str">
        <f t="shared" ref="AJ204:AL204" si="244">A32</f>
        <v>Rail</v>
      </c>
      <c r="AK204" s="122" t="str">
        <f t="shared" si="244"/>
        <v>Liquid bulk</v>
      </c>
      <c r="AL204" s="122" t="str">
        <f t="shared" si="244"/>
        <v>Hydrogen</v>
      </c>
      <c r="AM204" s="132">
        <f t="shared" si="238"/>
        <v>1</v>
      </c>
    </row>
    <row r="205" spans="33:39" x14ac:dyDescent="0.35">
      <c r="AG205" s="122" t="s">
        <v>419</v>
      </c>
      <c r="AH205" s="122" t="s">
        <v>416</v>
      </c>
      <c r="AI205" s="122">
        <v>2034</v>
      </c>
      <c r="AJ205" s="122" t="str">
        <f t="shared" ref="AJ205:AL205" si="245">A33</f>
        <v>Rail</v>
      </c>
      <c r="AK205" s="122" t="str">
        <f t="shared" si="245"/>
        <v>Container</v>
      </c>
      <c r="AL205" s="122" t="str">
        <f t="shared" si="245"/>
        <v>Diesel</v>
      </c>
      <c r="AM205" s="132">
        <f t="shared" si="238"/>
        <v>1</v>
      </c>
    </row>
    <row r="206" spans="33:39" x14ac:dyDescent="0.35">
      <c r="AG206" s="122" t="s">
        <v>419</v>
      </c>
      <c r="AH206" s="122" t="s">
        <v>416</v>
      </c>
      <c r="AI206" s="122">
        <v>2034</v>
      </c>
      <c r="AJ206" s="122" t="str">
        <f t="shared" ref="AJ206:AL206" si="246">A34</f>
        <v>Rail</v>
      </c>
      <c r="AK206" s="122" t="str">
        <f t="shared" si="246"/>
        <v>Container</v>
      </c>
      <c r="AL206" s="122" t="str">
        <f t="shared" si="246"/>
        <v>Catenary</v>
      </c>
      <c r="AM206" s="132">
        <f t="shared" si="238"/>
        <v>1</v>
      </c>
    </row>
    <row r="207" spans="33:39" x14ac:dyDescent="0.35">
      <c r="AG207" s="122" t="s">
        <v>86</v>
      </c>
      <c r="AH207" s="122" t="s">
        <v>416</v>
      </c>
      <c r="AI207" s="122">
        <v>2034</v>
      </c>
      <c r="AJ207" s="122" t="str">
        <f t="shared" ref="AJ207:AL207" si="247">A35</f>
        <v>Rail</v>
      </c>
      <c r="AK207" s="122" t="str">
        <f t="shared" si="247"/>
        <v>Container</v>
      </c>
      <c r="AL207" s="122" t="str">
        <f t="shared" si="247"/>
        <v>Battery</v>
      </c>
      <c r="AM207" s="132">
        <f t="shared" si="238"/>
        <v>1</v>
      </c>
    </row>
    <row r="208" spans="33:39" x14ac:dyDescent="0.35">
      <c r="AG208" s="122" t="s">
        <v>102</v>
      </c>
      <c r="AH208" s="122" t="s">
        <v>416</v>
      </c>
      <c r="AI208" s="122">
        <v>2034</v>
      </c>
      <c r="AJ208" s="122" t="str">
        <f t="shared" ref="AJ208:AL208" si="248">A36</f>
        <v>Rail</v>
      </c>
      <c r="AK208" s="122" t="str">
        <f t="shared" si="248"/>
        <v>Container</v>
      </c>
      <c r="AL208" s="122" t="str">
        <f t="shared" si="248"/>
        <v>Hydrogen</v>
      </c>
      <c r="AM208" s="132">
        <f t="shared" si="238"/>
        <v>1</v>
      </c>
    </row>
    <row r="209" spans="33:39" x14ac:dyDescent="0.35">
      <c r="AG209" s="122" t="s">
        <v>419</v>
      </c>
      <c r="AH209" s="122" t="s">
        <v>416</v>
      </c>
      <c r="AI209" s="122">
        <v>2034</v>
      </c>
      <c r="AJ209" s="122" t="str">
        <f t="shared" ref="AJ209:AL209" si="249">A37</f>
        <v>Rail</v>
      </c>
      <c r="AK209" s="122" t="str">
        <f t="shared" si="249"/>
        <v>Break bulk</v>
      </c>
      <c r="AL209" s="122" t="str">
        <f t="shared" si="249"/>
        <v>Diesel</v>
      </c>
      <c r="AM209" s="132">
        <f t="shared" si="238"/>
        <v>1</v>
      </c>
    </row>
    <row r="210" spans="33:39" x14ac:dyDescent="0.35">
      <c r="AG210" s="122" t="s">
        <v>419</v>
      </c>
      <c r="AH210" s="122" t="s">
        <v>416</v>
      </c>
      <c r="AI210" s="122">
        <v>2034</v>
      </c>
      <c r="AJ210" s="122" t="str">
        <f t="shared" ref="AJ210:AL210" si="250">A38</f>
        <v>Rail</v>
      </c>
      <c r="AK210" s="122" t="str">
        <f t="shared" si="250"/>
        <v>Break bulk</v>
      </c>
      <c r="AL210" s="122" t="str">
        <f t="shared" si="250"/>
        <v>Catenary</v>
      </c>
      <c r="AM210" s="132">
        <f t="shared" si="238"/>
        <v>1</v>
      </c>
    </row>
    <row r="211" spans="33:39" x14ac:dyDescent="0.35">
      <c r="AG211" s="122" t="s">
        <v>86</v>
      </c>
      <c r="AH211" s="122" t="s">
        <v>416</v>
      </c>
      <c r="AI211" s="122">
        <v>2034</v>
      </c>
      <c r="AJ211" s="122" t="str">
        <f t="shared" ref="AJ211:AL211" si="251">A39</f>
        <v>Rail</v>
      </c>
      <c r="AK211" s="122" t="str">
        <f t="shared" si="251"/>
        <v>Break bulk</v>
      </c>
      <c r="AL211" s="122" t="str">
        <f t="shared" si="251"/>
        <v>Battery</v>
      </c>
      <c r="AM211" s="132">
        <f t="shared" si="238"/>
        <v>1</v>
      </c>
    </row>
    <row r="212" spans="33:39" x14ac:dyDescent="0.35">
      <c r="AG212" s="122" t="s">
        <v>102</v>
      </c>
      <c r="AH212" s="122" t="s">
        <v>416</v>
      </c>
      <c r="AI212" s="122">
        <v>2034</v>
      </c>
      <c r="AJ212" s="122" t="str">
        <f t="shared" ref="AJ212:AL212" si="252">A40</f>
        <v>Rail</v>
      </c>
      <c r="AK212" s="122" t="str">
        <f t="shared" si="252"/>
        <v>Break bulk</v>
      </c>
      <c r="AL212" s="122" t="str">
        <f t="shared" si="252"/>
        <v>Hydrogen</v>
      </c>
      <c r="AM212" s="132">
        <f t="shared" si="238"/>
        <v>1</v>
      </c>
    </row>
    <row r="213" spans="33:39" x14ac:dyDescent="0.35">
      <c r="AG213" s="122" t="s">
        <v>419</v>
      </c>
      <c r="AH213" s="122" t="s">
        <v>416</v>
      </c>
      <c r="AI213" s="122">
        <v>2034</v>
      </c>
      <c r="AJ213" s="122" t="str">
        <f t="shared" ref="AJ213:AL213" si="253">A41</f>
        <v>Rail</v>
      </c>
      <c r="AK213" s="122" t="str">
        <f t="shared" si="253"/>
        <v>Neo bulk</v>
      </c>
      <c r="AL213" s="122" t="str">
        <f t="shared" si="253"/>
        <v>Diesel</v>
      </c>
      <c r="AM213" s="132">
        <f t="shared" si="238"/>
        <v>1</v>
      </c>
    </row>
    <row r="214" spans="33:39" x14ac:dyDescent="0.35">
      <c r="AG214" s="122" t="s">
        <v>419</v>
      </c>
      <c r="AH214" s="122" t="s">
        <v>416</v>
      </c>
      <c r="AI214" s="122">
        <v>2034</v>
      </c>
      <c r="AJ214" s="122" t="str">
        <f t="shared" ref="AJ214:AL214" si="254">A42</f>
        <v>Rail</v>
      </c>
      <c r="AK214" s="122" t="str">
        <f t="shared" si="254"/>
        <v>Neo bulk</v>
      </c>
      <c r="AL214" s="122" t="str">
        <f t="shared" si="254"/>
        <v>Catenary</v>
      </c>
      <c r="AM214" s="132">
        <f t="shared" si="238"/>
        <v>1</v>
      </c>
    </row>
    <row r="215" spans="33:39" x14ac:dyDescent="0.35">
      <c r="AG215" s="122" t="s">
        <v>86</v>
      </c>
      <c r="AH215" s="122" t="s">
        <v>416</v>
      </c>
      <c r="AI215" s="122">
        <v>2034</v>
      </c>
      <c r="AJ215" s="122" t="str">
        <f>A43</f>
        <v>Rail</v>
      </c>
      <c r="AK215" s="122" t="str">
        <f>B43</f>
        <v>Neo bulk</v>
      </c>
      <c r="AL215" s="122" t="str">
        <f>C43</f>
        <v>Battery</v>
      </c>
      <c r="AM215" s="132">
        <f>R43</f>
        <v>1</v>
      </c>
    </row>
    <row r="216" spans="33:39" x14ac:dyDescent="0.35">
      <c r="AG216" s="122" t="s">
        <v>102</v>
      </c>
      <c r="AH216" s="122" t="s">
        <v>416</v>
      </c>
      <c r="AI216" s="122">
        <v>2034</v>
      </c>
      <c r="AJ216" s="122" t="str">
        <f t="shared" ref="AJ216" si="255">A44</f>
        <v>Rail</v>
      </c>
      <c r="AK216" s="122" t="str">
        <f t="shared" ref="AK216" si="256">B44</f>
        <v>Neo bulk</v>
      </c>
      <c r="AL216" s="122" t="str">
        <f t="shared" ref="AL216" si="257">C44</f>
        <v>Hydrogen</v>
      </c>
      <c r="AM216" s="132">
        <f t="shared" ref="AM216" si="258">R44</f>
        <v>1</v>
      </c>
    </row>
    <row r="217" spans="33:39" x14ac:dyDescent="0.35">
      <c r="AG217" s="122" t="s">
        <v>419</v>
      </c>
      <c r="AH217" s="122" t="s">
        <v>417</v>
      </c>
      <c r="AI217" s="122">
        <v>2034</v>
      </c>
      <c r="AJ217" s="122" t="str">
        <f>A25</f>
        <v>Rail</v>
      </c>
      <c r="AK217" s="122" t="str">
        <f>B25</f>
        <v>Dry bulk</v>
      </c>
      <c r="AL217" s="122" t="str">
        <f>C25</f>
        <v>Diesel</v>
      </c>
      <c r="AM217" s="132">
        <f>S25</f>
        <v>0.91311881356800995</v>
      </c>
    </row>
    <row r="218" spans="33:39" x14ac:dyDescent="0.35">
      <c r="AG218" s="122" t="s">
        <v>419</v>
      </c>
      <c r="AH218" s="122" t="s">
        <v>417</v>
      </c>
      <c r="AI218" s="122">
        <v>2034</v>
      </c>
      <c r="AJ218" s="122" t="str">
        <f t="shared" ref="AJ218:AL218" si="259">A26</f>
        <v>Rail</v>
      </c>
      <c r="AK218" s="122" t="str">
        <f t="shared" si="259"/>
        <v>Dry bulk</v>
      </c>
      <c r="AL218" s="122" t="str">
        <f t="shared" si="259"/>
        <v>Catenary</v>
      </c>
      <c r="AM218" s="132">
        <f t="shared" ref="AM218:AM234" si="260">S26</f>
        <v>0.98477449510203774</v>
      </c>
    </row>
    <row r="219" spans="33:39" x14ac:dyDescent="0.35">
      <c r="AG219" s="122" t="s">
        <v>86</v>
      </c>
      <c r="AH219" s="122" t="s">
        <v>417</v>
      </c>
      <c r="AI219" s="122">
        <v>2034</v>
      </c>
      <c r="AJ219" s="122" t="str">
        <f t="shared" ref="AJ219:AL219" si="261">A27</f>
        <v>Rail</v>
      </c>
      <c r="AK219" s="122" t="str">
        <f t="shared" si="261"/>
        <v>Dry bulk</v>
      </c>
      <c r="AL219" s="122" t="str">
        <f t="shared" si="261"/>
        <v>Battery</v>
      </c>
      <c r="AM219" s="132">
        <f t="shared" si="260"/>
        <v>0.98696276099091129</v>
      </c>
    </row>
    <row r="220" spans="33:39" x14ac:dyDescent="0.35">
      <c r="AG220" s="122" t="s">
        <v>102</v>
      </c>
      <c r="AH220" s="122" t="s">
        <v>417</v>
      </c>
      <c r="AI220" s="122">
        <v>2034</v>
      </c>
      <c r="AJ220" s="122" t="str">
        <f t="shared" ref="AJ220:AL220" si="262">A28</f>
        <v>Rail</v>
      </c>
      <c r="AK220" s="122" t="str">
        <f t="shared" si="262"/>
        <v>Dry bulk</v>
      </c>
      <c r="AL220" s="122" t="str">
        <f t="shared" si="262"/>
        <v>Hydrogen</v>
      </c>
      <c r="AM220" s="132">
        <f t="shared" si="260"/>
        <v>0.97680251632358206</v>
      </c>
    </row>
    <row r="221" spans="33:39" x14ac:dyDescent="0.35">
      <c r="AG221" s="122" t="s">
        <v>419</v>
      </c>
      <c r="AH221" s="122" t="s">
        <v>417</v>
      </c>
      <c r="AI221" s="122">
        <v>2034</v>
      </c>
      <c r="AJ221" s="122" t="str">
        <f t="shared" ref="AJ221:AL221" si="263">A29</f>
        <v>Rail</v>
      </c>
      <c r="AK221" s="122" t="str">
        <f t="shared" si="263"/>
        <v>Liquid bulk</v>
      </c>
      <c r="AL221" s="122" t="str">
        <f t="shared" si="263"/>
        <v>Diesel</v>
      </c>
      <c r="AM221" s="132">
        <f t="shared" si="260"/>
        <v>0.91379910353539295</v>
      </c>
    </row>
    <row r="222" spans="33:39" x14ac:dyDescent="0.35">
      <c r="AG222" s="122" t="s">
        <v>419</v>
      </c>
      <c r="AH222" s="122" t="s">
        <v>417</v>
      </c>
      <c r="AI222" s="122">
        <v>2034</v>
      </c>
      <c r="AJ222" s="122" t="str">
        <f t="shared" ref="AJ222:AL222" si="264">A30</f>
        <v>Rail</v>
      </c>
      <c r="AK222" s="122" t="str">
        <f t="shared" si="264"/>
        <v>Liquid bulk</v>
      </c>
      <c r="AL222" s="122" t="str">
        <f t="shared" si="264"/>
        <v>Catenary</v>
      </c>
      <c r="AM222" s="132">
        <f t="shared" si="260"/>
        <v>0.98491212721321675</v>
      </c>
    </row>
    <row r="223" spans="33:39" x14ac:dyDescent="0.35">
      <c r="AG223" s="122" t="s">
        <v>86</v>
      </c>
      <c r="AH223" s="122" t="s">
        <v>417</v>
      </c>
      <c r="AI223" s="122">
        <v>2034</v>
      </c>
      <c r="AJ223" s="122" t="str">
        <f t="shared" ref="AJ223:AL223" si="265">A31</f>
        <v>Rail</v>
      </c>
      <c r="AK223" s="122" t="str">
        <f t="shared" si="265"/>
        <v>Liquid bulk</v>
      </c>
      <c r="AL223" s="122" t="str">
        <f t="shared" si="265"/>
        <v>Battery</v>
      </c>
      <c r="AM223" s="132">
        <f t="shared" si="260"/>
        <v>0.98705744173892607</v>
      </c>
    </row>
    <row r="224" spans="33:39" x14ac:dyDescent="0.35">
      <c r="AG224" s="122" t="s">
        <v>102</v>
      </c>
      <c r="AH224" s="122" t="s">
        <v>417</v>
      </c>
      <c r="AI224" s="122">
        <v>2034</v>
      </c>
      <c r="AJ224" s="122" t="str">
        <f t="shared" ref="AJ224:AL224" si="266">A32</f>
        <v>Rail</v>
      </c>
      <c r="AK224" s="122" t="str">
        <f t="shared" si="266"/>
        <v>Liquid bulk</v>
      </c>
      <c r="AL224" s="122" t="str">
        <f t="shared" si="266"/>
        <v>Hydrogen</v>
      </c>
      <c r="AM224" s="132">
        <f t="shared" si="260"/>
        <v>0.97695054782858171</v>
      </c>
    </row>
    <row r="225" spans="33:39" x14ac:dyDescent="0.35">
      <c r="AG225" s="122" t="s">
        <v>419</v>
      </c>
      <c r="AH225" s="122" t="s">
        <v>417</v>
      </c>
      <c r="AI225" s="122">
        <v>2034</v>
      </c>
      <c r="AJ225" s="122" t="str">
        <f t="shared" ref="AJ225:AL225" si="267">A33</f>
        <v>Rail</v>
      </c>
      <c r="AK225" s="122" t="str">
        <f t="shared" si="267"/>
        <v>Container</v>
      </c>
      <c r="AL225" s="122" t="str">
        <f t="shared" si="267"/>
        <v>Diesel</v>
      </c>
      <c r="AM225" s="132">
        <f t="shared" si="260"/>
        <v>0.90848200097264742</v>
      </c>
    </row>
    <row r="226" spans="33:39" x14ac:dyDescent="0.35">
      <c r="AG226" s="122" t="s">
        <v>419</v>
      </c>
      <c r="AH226" s="122" t="s">
        <v>417</v>
      </c>
      <c r="AI226" s="122">
        <v>2034</v>
      </c>
      <c r="AJ226" s="122" t="str">
        <f t="shared" ref="AJ226:AL226" si="268">A34</f>
        <v>Rail</v>
      </c>
      <c r="AK226" s="122" t="str">
        <f t="shared" si="268"/>
        <v>Container</v>
      </c>
      <c r="AL226" s="122" t="str">
        <f t="shared" si="268"/>
        <v>Catenary</v>
      </c>
      <c r="AM226" s="132">
        <f t="shared" si="260"/>
        <v>0.98382737971665579</v>
      </c>
    </row>
    <row r="227" spans="33:39" x14ac:dyDescent="0.35">
      <c r="AG227" s="122" t="s">
        <v>86</v>
      </c>
      <c r="AH227" s="122" t="s">
        <v>417</v>
      </c>
      <c r="AI227" s="122">
        <v>2034</v>
      </c>
      <c r="AJ227" s="122" t="str">
        <f t="shared" ref="AJ227:AL227" si="269">A35</f>
        <v>Rail</v>
      </c>
      <c r="AK227" s="122" t="str">
        <f t="shared" si="269"/>
        <v>Container</v>
      </c>
      <c r="AL227" s="122" t="str">
        <f t="shared" si="269"/>
        <v>Battery</v>
      </c>
      <c r="AM227" s="132">
        <f t="shared" si="260"/>
        <v>0.98631607342809213</v>
      </c>
    </row>
    <row r="228" spans="33:39" x14ac:dyDescent="0.35">
      <c r="AG228" s="122" t="s">
        <v>102</v>
      </c>
      <c r="AH228" s="122" t="s">
        <v>417</v>
      </c>
      <c r="AI228" s="122">
        <v>2034</v>
      </c>
      <c r="AJ228" s="122" t="str">
        <f t="shared" ref="AJ228:AL228" si="270">A36</f>
        <v>Rail</v>
      </c>
      <c r="AK228" s="122" t="str">
        <f t="shared" si="270"/>
        <v>Container</v>
      </c>
      <c r="AL228" s="122" t="str">
        <f t="shared" si="270"/>
        <v>Hydrogen</v>
      </c>
      <c r="AM228" s="132">
        <f t="shared" si="260"/>
        <v>0.97580076241328517</v>
      </c>
    </row>
    <row r="229" spans="33:39" x14ac:dyDescent="0.35">
      <c r="AG229" s="122" t="s">
        <v>419</v>
      </c>
      <c r="AH229" s="122" t="s">
        <v>417</v>
      </c>
      <c r="AI229" s="122">
        <v>2034</v>
      </c>
      <c r="AJ229" s="122" t="str">
        <f t="shared" ref="AJ229:AL229" si="271">A37</f>
        <v>Rail</v>
      </c>
      <c r="AK229" s="122" t="str">
        <f t="shared" si="271"/>
        <v>Break bulk</v>
      </c>
      <c r="AL229" s="122" t="str">
        <f t="shared" si="271"/>
        <v>Diesel</v>
      </c>
      <c r="AM229" s="132">
        <f t="shared" si="260"/>
        <v>0.94059586321929411</v>
      </c>
    </row>
    <row r="230" spans="33:39" x14ac:dyDescent="0.35">
      <c r="AG230" s="122" t="s">
        <v>419</v>
      </c>
      <c r="AH230" s="122" t="s">
        <v>417</v>
      </c>
      <c r="AI230" s="122">
        <v>2034</v>
      </c>
      <c r="AJ230" s="122" t="str">
        <f t="shared" ref="AJ230:AL230" si="272">A38</f>
        <v>Rail</v>
      </c>
      <c r="AK230" s="122" t="str">
        <f t="shared" si="272"/>
        <v>Break bulk</v>
      </c>
      <c r="AL230" s="122" t="str">
        <f t="shared" si="272"/>
        <v>Catenary</v>
      </c>
      <c r="AM230" s="132">
        <f t="shared" si="260"/>
        <v>0.99007878892177648</v>
      </c>
    </row>
    <row r="231" spans="33:39" x14ac:dyDescent="0.35">
      <c r="AG231" s="122" t="s">
        <v>86</v>
      </c>
      <c r="AH231" s="122" t="s">
        <v>417</v>
      </c>
      <c r="AI231" s="122">
        <v>2034</v>
      </c>
      <c r="AJ231" s="122" t="str">
        <f t="shared" ref="AJ231:AL231" si="273">A39</f>
        <v>Rail</v>
      </c>
      <c r="AK231" s="122" t="str">
        <f t="shared" si="273"/>
        <v>Break bulk</v>
      </c>
      <c r="AL231" s="122" t="str">
        <f t="shared" si="273"/>
        <v>Battery</v>
      </c>
      <c r="AM231" s="132">
        <f t="shared" si="260"/>
        <v>0.99088875252714015</v>
      </c>
    </row>
    <row r="232" spans="33:39" x14ac:dyDescent="0.35">
      <c r="AG232" s="122" t="s">
        <v>102</v>
      </c>
      <c r="AH232" s="122" t="s">
        <v>417</v>
      </c>
      <c r="AI232" s="122">
        <v>2034</v>
      </c>
      <c r="AJ232" s="122" t="str">
        <f t="shared" ref="AJ232:AL232" si="274">A40</f>
        <v>Rail</v>
      </c>
      <c r="AK232" s="122" t="str">
        <f t="shared" si="274"/>
        <v>Break bulk</v>
      </c>
      <c r="AL232" s="122" t="str">
        <f t="shared" si="274"/>
        <v>Hydrogen</v>
      </c>
      <c r="AM232" s="132">
        <f t="shared" si="260"/>
        <v>0.98316109791249662</v>
      </c>
    </row>
    <row r="233" spans="33:39" x14ac:dyDescent="0.35">
      <c r="AG233" s="122" t="s">
        <v>419</v>
      </c>
      <c r="AH233" s="122" t="s">
        <v>417</v>
      </c>
      <c r="AI233" s="122">
        <v>2034</v>
      </c>
      <c r="AJ233" s="122" t="str">
        <f t="shared" ref="AJ233:AL233" si="275">A41</f>
        <v>Rail</v>
      </c>
      <c r="AK233" s="122" t="str">
        <f t="shared" si="275"/>
        <v>Neo bulk</v>
      </c>
      <c r="AL233" s="122" t="str">
        <f t="shared" si="275"/>
        <v>Diesel</v>
      </c>
      <c r="AM233" s="132">
        <f t="shared" si="260"/>
        <v>0.91209975715638192</v>
      </c>
    </row>
    <row r="234" spans="33:39" x14ac:dyDescent="0.35">
      <c r="AG234" s="122" t="s">
        <v>419</v>
      </c>
      <c r="AH234" s="122" t="s">
        <v>417</v>
      </c>
      <c r="AI234" s="122">
        <v>2034</v>
      </c>
      <c r="AJ234" s="122" t="str">
        <f t="shared" ref="AJ234:AL234" si="276">A42</f>
        <v>Rail</v>
      </c>
      <c r="AK234" s="122" t="str">
        <f t="shared" si="276"/>
        <v>Neo bulk</v>
      </c>
      <c r="AL234" s="122" t="str">
        <f t="shared" si="276"/>
        <v>Catenary</v>
      </c>
      <c r="AM234" s="132">
        <f t="shared" si="260"/>
        <v>0.98456769612244088</v>
      </c>
    </row>
    <row r="235" spans="33:39" x14ac:dyDescent="0.35">
      <c r="AG235" s="122" t="s">
        <v>86</v>
      </c>
      <c r="AH235" s="122" t="s">
        <v>417</v>
      </c>
      <c r="AI235" s="122">
        <v>2034</v>
      </c>
      <c r="AJ235" s="122" t="str">
        <f>A43</f>
        <v>Rail</v>
      </c>
      <c r="AK235" s="122" t="str">
        <f>B43</f>
        <v>Neo bulk</v>
      </c>
      <c r="AL235" s="122" t="str">
        <f>C43</f>
        <v>Battery</v>
      </c>
      <c r="AM235" s="132">
        <f>S43</f>
        <v>0.9868194655673318</v>
      </c>
    </row>
    <row r="236" spans="33:39" x14ac:dyDescent="0.35">
      <c r="AG236" s="122" t="s">
        <v>102</v>
      </c>
      <c r="AH236" s="122" t="s">
        <v>417</v>
      </c>
      <c r="AI236" s="122">
        <v>2034</v>
      </c>
      <c r="AJ236" s="122" t="str">
        <f t="shared" ref="AJ236" si="277">A44</f>
        <v>Rail</v>
      </c>
      <c r="AK236" s="122" t="str">
        <f t="shared" ref="AK236" si="278">B44</f>
        <v>Neo bulk</v>
      </c>
      <c r="AL236" s="122" t="str">
        <f t="shared" ref="AL236" si="279">C44</f>
        <v>Hydrogen</v>
      </c>
      <c r="AM236" s="132">
        <f t="shared" ref="AM236" si="280">S44</f>
        <v>0.97657991526351362</v>
      </c>
    </row>
    <row r="237" spans="33:39" x14ac:dyDescent="0.35">
      <c r="AG237" s="122" t="s">
        <v>419</v>
      </c>
      <c r="AH237" s="122" t="s">
        <v>418</v>
      </c>
      <c r="AI237" s="122">
        <v>2034</v>
      </c>
      <c r="AJ237" s="122" t="str">
        <f>A25</f>
        <v>Rail</v>
      </c>
      <c r="AK237" s="122" t="str">
        <f>B25</f>
        <v>Dry bulk</v>
      </c>
      <c r="AL237" s="122" t="str">
        <f>C25</f>
        <v>Diesel</v>
      </c>
      <c r="AM237" s="132">
        <f>T25</f>
        <v>1.0357118987174436</v>
      </c>
    </row>
    <row r="238" spans="33:39" x14ac:dyDescent="0.35">
      <c r="AG238" s="122" t="s">
        <v>419</v>
      </c>
      <c r="AH238" s="122" t="s">
        <v>418</v>
      </c>
      <c r="AI238" s="122">
        <v>2034</v>
      </c>
      <c r="AJ238" s="122" t="str">
        <f t="shared" ref="AJ238:AL238" si="281">A26</f>
        <v>Rail</v>
      </c>
      <c r="AK238" s="122" t="str">
        <f t="shared" si="281"/>
        <v>Dry bulk</v>
      </c>
      <c r="AL238" s="122" t="str">
        <f t="shared" si="281"/>
        <v>Catenary</v>
      </c>
      <c r="AM238" s="132">
        <f t="shared" ref="AM238:AM253" si="282">T26</f>
        <v>1.0217422579671291</v>
      </c>
    </row>
    <row r="239" spans="33:39" x14ac:dyDescent="0.35">
      <c r="AG239" s="122" t="s">
        <v>86</v>
      </c>
      <c r="AH239" s="122" t="s">
        <v>418</v>
      </c>
      <c r="AI239" s="122">
        <v>2034</v>
      </c>
      <c r="AJ239" s="122" t="str">
        <f t="shared" ref="AJ239:AL239" si="283">A27</f>
        <v>Rail</v>
      </c>
      <c r="AK239" s="122" t="str">
        <f t="shared" si="283"/>
        <v>Dry bulk</v>
      </c>
      <c r="AL239" s="122" t="str">
        <f t="shared" si="283"/>
        <v>Battery</v>
      </c>
      <c r="AM239" s="132">
        <f t="shared" si="282"/>
        <v>1.0186173802192049</v>
      </c>
    </row>
    <row r="240" spans="33:39" x14ac:dyDescent="0.35">
      <c r="AG240" s="122" t="s">
        <v>102</v>
      </c>
      <c r="AH240" s="122" t="s">
        <v>418</v>
      </c>
      <c r="AI240" s="122">
        <v>2034</v>
      </c>
      <c r="AJ240" s="122" t="str">
        <f t="shared" ref="AJ240:AL240" si="284">A28</f>
        <v>Rail</v>
      </c>
      <c r="AK240" s="122" t="str">
        <f t="shared" si="284"/>
        <v>Dry bulk</v>
      </c>
      <c r="AL240" s="122" t="str">
        <f t="shared" si="284"/>
        <v>Hydrogen</v>
      </c>
      <c r="AM240" s="132">
        <f t="shared" si="282"/>
        <v>1.0331873460605747</v>
      </c>
    </row>
    <row r="241" spans="33:39" x14ac:dyDescent="0.35">
      <c r="AG241" s="122" t="s">
        <v>419</v>
      </c>
      <c r="AH241" s="122" t="s">
        <v>418</v>
      </c>
      <c r="AI241" s="122">
        <v>2034</v>
      </c>
      <c r="AJ241" s="122" t="str">
        <f t="shared" ref="AJ241:AL241" si="285">A29</f>
        <v>Rail</v>
      </c>
      <c r="AK241" s="122" t="str">
        <f t="shared" si="285"/>
        <v>Liquid bulk</v>
      </c>
      <c r="AL241" s="122" t="str">
        <f t="shared" si="285"/>
        <v>Diesel</v>
      </c>
      <c r="AM241" s="132">
        <f t="shared" si="282"/>
        <v>1.0354322703259429</v>
      </c>
    </row>
    <row r="242" spans="33:39" x14ac:dyDescent="0.35">
      <c r="AG242" s="122" t="s">
        <v>419</v>
      </c>
      <c r="AH242" s="122" t="s">
        <v>418</v>
      </c>
      <c r="AI242" s="122">
        <v>2034</v>
      </c>
      <c r="AJ242" s="122" t="str">
        <f t="shared" ref="AJ242:AL242" si="286">A30</f>
        <v>Rail</v>
      </c>
      <c r="AK242" s="122" t="str">
        <f t="shared" si="286"/>
        <v>Liquid bulk</v>
      </c>
      <c r="AL242" s="122" t="str">
        <f t="shared" si="286"/>
        <v>Catenary</v>
      </c>
      <c r="AM242" s="132">
        <f t="shared" si="282"/>
        <v>1.0215457171702307</v>
      </c>
    </row>
    <row r="243" spans="33:39" x14ac:dyDescent="0.35">
      <c r="AG243" s="122" t="s">
        <v>86</v>
      </c>
      <c r="AH243" s="122" t="s">
        <v>418</v>
      </c>
      <c r="AI243" s="122">
        <v>2034</v>
      </c>
      <c r="AJ243" s="122" t="str">
        <f t="shared" ref="AJ243:AL243" si="287">A31</f>
        <v>Rail</v>
      </c>
      <c r="AK243" s="122" t="str">
        <f t="shared" si="287"/>
        <v>Liquid bulk</v>
      </c>
      <c r="AL243" s="122" t="str">
        <f t="shared" si="287"/>
        <v>Battery</v>
      </c>
      <c r="AM243" s="132">
        <f t="shared" si="282"/>
        <v>1.0184821746374093</v>
      </c>
    </row>
    <row r="244" spans="33:39" x14ac:dyDescent="0.35">
      <c r="AG244" s="122" t="s">
        <v>102</v>
      </c>
      <c r="AH244" s="122" t="s">
        <v>418</v>
      </c>
      <c r="AI244" s="122">
        <v>2034</v>
      </c>
      <c r="AJ244" s="122" t="str">
        <f t="shared" ref="AJ244:AL244" si="288">A32</f>
        <v>Rail</v>
      </c>
      <c r="AK244" s="122" t="str">
        <f t="shared" si="288"/>
        <v>Liquid bulk</v>
      </c>
      <c r="AL244" s="122" t="str">
        <f t="shared" si="288"/>
        <v>Hydrogen</v>
      </c>
      <c r="AM244" s="132">
        <f t="shared" si="282"/>
        <v>1.032975565642801</v>
      </c>
    </row>
    <row r="245" spans="33:39" x14ac:dyDescent="0.35">
      <c r="AG245" s="122" t="s">
        <v>419</v>
      </c>
      <c r="AH245" s="122" t="s">
        <v>418</v>
      </c>
      <c r="AI245" s="122">
        <v>2034</v>
      </c>
      <c r="AJ245" s="122" t="str">
        <f t="shared" ref="AJ245:AL245" si="289">A33</f>
        <v>Rail</v>
      </c>
      <c r="AK245" s="122" t="str">
        <f t="shared" si="289"/>
        <v>Container</v>
      </c>
      <c r="AL245" s="122" t="str">
        <f t="shared" si="289"/>
        <v>Diesel</v>
      </c>
      <c r="AM245" s="132">
        <f t="shared" si="282"/>
        <v>1.037617827821059</v>
      </c>
    </row>
    <row r="246" spans="33:39" x14ac:dyDescent="0.35">
      <c r="AG246" s="122" t="s">
        <v>419</v>
      </c>
      <c r="AH246" s="122" t="s">
        <v>418</v>
      </c>
      <c r="AI246" s="122">
        <v>2034</v>
      </c>
      <c r="AJ246" s="122" t="str">
        <f t="shared" ref="AJ246:AL246" si="290">A34</f>
        <v>Rail</v>
      </c>
      <c r="AK246" s="122" t="str">
        <f t="shared" si="290"/>
        <v>Container</v>
      </c>
      <c r="AL246" s="122" t="str">
        <f t="shared" si="290"/>
        <v>Catenary</v>
      </c>
      <c r="AM246" s="132">
        <f t="shared" si="282"/>
        <v>1.0230947534785499</v>
      </c>
    </row>
    <row r="247" spans="33:39" x14ac:dyDescent="0.35">
      <c r="AG247" s="122" t="s">
        <v>86</v>
      </c>
      <c r="AH247" s="122" t="s">
        <v>418</v>
      </c>
      <c r="AI247" s="122">
        <v>2034</v>
      </c>
      <c r="AJ247" s="122" t="str">
        <f t="shared" ref="AJ247:AL247" si="291">A35</f>
        <v>Rail</v>
      </c>
      <c r="AK247" s="122" t="str">
        <f t="shared" si="291"/>
        <v>Container</v>
      </c>
      <c r="AL247" s="122" t="str">
        <f t="shared" si="291"/>
        <v>Battery</v>
      </c>
      <c r="AM247" s="132">
        <f t="shared" si="282"/>
        <v>1.0195408601240865</v>
      </c>
    </row>
    <row r="248" spans="33:39" x14ac:dyDescent="0.35">
      <c r="AG248" s="122" t="s">
        <v>102</v>
      </c>
      <c r="AH248" s="122" t="s">
        <v>418</v>
      </c>
      <c r="AI248" s="122">
        <v>2034</v>
      </c>
      <c r="AJ248" s="122" t="str">
        <f t="shared" ref="AJ248:AL248" si="292">A36</f>
        <v>Rail</v>
      </c>
      <c r="AK248" s="122" t="str">
        <f t="shared" si="292"/>
        <v>Container</v>
      </c>
      <c r="AL248" s="122" t="str">
        <f t="shared" si="292"/>
        <v>Hydrogen</v>
      </c>
      <c r="AM248" s="132">
        <f t="shared" si="282"/>
        <v>1.0346204995074009</v>
      </c>
    </row>
    <row r="249" spans="33:39" x14ac:dyDescent="0.35">
      <c r="AG249" s="122" t="s">
        <v>419</v>
      </c>
      <c r="AH249" s="122" t="s">
        <v>418</v>
      </c>
      <c r="AI249" s="122">
        <v>2034</v>
      </c>
      <c r="AJ249" s="122" t="str">
        <f t="shared" ref="AJ249:AL249" si="293">A37</f>
        <v>Rail</v>
      </c>
      <c r="AK249" s="122" t="str">
        <f t="shared" si="293"/>
        <v>Break bulk</v>
      </c>
      <c r="AL249" s="122" t="str">
        <f t="shared" si="293"/>
        <v>Diesel</v>
      </c>
      <c r="AM249" s="132">
        <f t="shared" si="282"/>
        <v>1.0244176513147685</v>
      </c>
    </row>
    <row r="250" spans="33:39" x14ac:dyDescent="0.35">
      <c r="AG250" s="122" t="s">
        <v>419</v>
      </c>
      <c r="AH250" s="122" t="s">
        <v>418</v>
      </c>
      <c r="AI250" s="122">
        <v>2034</v>
      </c>
      <c r="AJ250" s="122" t="str">
        <f t="shared" ref="AJ250:AL250" si="294">A38</f>
        <v>Rail</v>
      </c>
      <c r="AK250" s="122" t="str">
        <f t="shared" si="294"/>
        <v>Break bulk</v>
      </c>
      <c r="AL250" s="122" t="str">
        <f t="shared" si="294"/>
        <v>Catenary</v>
      </c>
      <c r="AM250" s="132">
        <f t="shared" si="282"/>
        <v>1.0141676438354399</v>
      </c>
    </row>
    <row r="251" spans="33:39" x14ac:dyDescent="0.35">
      <c r="AG251" s="122" t="s">
        <v>86</v>
      </c>
      <c r="AH251" s="122" t="s">
        <v>418</v>
      </c>
      <c r="AI251" s="122">
        <v>2034</v>
      </c>
      <c r="AJ251" s="122" t="str">
        <f t="shared" ref="AJ251:AL251" si="295">A39</f>
        <v>Rail</v>
      </c>
      <c r="AK251" s="122" t="str">
        <f t="shared" si="295"/>
        <v>Break bulk</v>
      </c>
      <c r="AL251" s="122" t="str">
        <f t="shared" si="295"/>
        <v>Battery</v>
      </c>
      <c r="AM251" s="132">
        <f t="shared" si="282"/>
        <v>1.0130110032005433</v>
      </c>
    </row>
    <row r="252" spans="33:39" x14ac:dyDescent="0.35">
      <c r="AG252" s="122" t="s">
        <v>102</v>
      </c>
      <c r="AH252" s="122" t="s">
        <v>418</v>
      </c>
      <c r="AI252" s="122">
        <v>2034</v>
      </c>
      <c r="AJ252" s="122" t="str">
        <f t="shared" ref="AJ252:AL252" si="296">A40</f>
        <v>Rail</v>
      </c>
      <c r="AK252" s="122" t="str">
        <f t="shared" si="296"/>
        <v>Break bulk</v>
      </c>
      <c r="AL252" s="122" t="str">
        <f t="shared" si="296"/>
        <v>Hydrogen</v>
      </c>
      <c r="AM252" s="132">
        <f t="shared" si="282"/>
        <v>1.0240904780300037</v>
      </c>
    </row>
    <row r="253" spans="33:39" x14ac:dyDescent="0.35">
      <c r="AG253" s="122" t="s">
        <v>419</v>
      </c>
      <c r="AH253" s="122" t="s">
        <v>418</v>
      </c>
      <c r="AI253" s="122">
        <v>2034</v>
      </c>
      <c r="AJ253" s="122" t="str">
        <f t="shared" ref="AJ253:AL256" si="297">A41</f>
        <v>Rail</v>
      </c>
      <c r="AK253" s="122" t="str">
        <f t="shared" si="297"/>
        <v>Neo bulk</v>
      </c>
      <c r="AL253" s="122" t="str">
        <f t="shared" si="297"/>
        <v>Diesel</v>
      </c>
      <c r="AM253" s="132">
        <f t="shared" si="282"/>
        <v>1.0361307746657815</v>
      </c>
    </row>
    <row r="254" spans="33:39" x14ac:dyDescent="0.35">
      <c r="AG254" s="122" t="s">
        <v>419</v>
      </c>
      <c r="AH254" s="122" t="s">
        <v>418</v>
      </c>
      <c r="AI254" s="122">
        <v>2034</v>
      </c>
      <c r="AJ254" s="122" t="str">
        <f t="shared" si="297"/>
        <v>Rail</v>
      </c>
      <c r="AK254" s="122" t="str">
        <f>B42</f>
        <v>Neo bulk</v>
      </c>
      <c r="AL254" s="122" t="str">
        <f>C42</f>
        <v>Catenary</v>
      </c>
      <c r="AM254" s="132">
        <f>T42</f>
        <v>1.0220375701286546</v>
      </c>
    </row>
    <row r="255" spans="33:39" x14ac:dyDescent="0.35">
      <c r="AG255" s="122" t="s">
        <v>86</v>
      </c>
      <c r="AH255" s="122" t="s">
        <v>418</v>
      </c>
      <c r="AI255" s="122">
        <v>2034</v>
      </c>
      <c r="AJ255" s="122" t="str">
        <f t="shared" si="297"/>
        <v>Rail</v>
      </c>
      <c r="AK255" s="122" t="str">
        <f t="shared" ref="AK255:AK256" si="298">B43</f>
        <v>Neo bulk</v>
      </c>
      <c r="AL255" s="122" t="str">
        <f t="shared" ref="AL255:AL256" si="299">C43</f>
        <v>Battery</v>
      </c>
      <c r="AM255" s="132">
        <f t="shared" ref="AM255:AM256" si="300">T43</f>
        <v>1.0188220083143551</v>
      </c>
    </row>
    <row r="256" spans="33:39" x14ac:dyDescent="0.35">
      <c r="AG256" s="122" t="s">
        <v>102</v>
      </c>
      <c r="AH256" s="122" t="s">
        <v>418</v>
      </c>
      <c r="AI256" s="122">
        <v>2034</v>
      </c>
      <c r="AJ256" s="122" t="str">
        <f t="shared" si="297"/>
        <v>Rail</v>
      </c>
      <c r="AK256" s="122" t="str">
        <f t="shared" si="298"/>
        <v>Neo bulk</v>
      </c>
      <c r="AL256" s="122" t="str">
        <f t="shared" si="299"/>
        <v>Hydrogen</v>
      </c>
      <c r="AM256" s="132">
        <f t="shared" si="300"/>
        <v>1.0335058089816824</v>
      </c>
    </row>
    <row r="257" spans="33:39" x14ac:dyDescent="0.35">
      <c r="AG257" s="122" t="s">
        <v>419</v>
      </c>
      <c r="AH257" s="122" t="s">
        <v>416</v>
      </c>
      <c r="AI257" s="122">
        <v>2050</v>
      </c>
      <c r="AJ257" s="122" t="str">
        <f t="shared" ref="AJ257:AJ263" si="301">A25</f>
        <v>Rail</v>
      </c>
      <c r="AK257" s="122" t="str">
        <f>B25</f>
        <v>Dry bulk</v>
      </c>
      <c r="AL257" s="122" t="str">
        <f>C25</f>
        <v>Diesel</v>
      </c>
      <c r="AM257" s="132">
        <f>AB25</f>
        <v>1</v>
      </c>
    </row>
    <row r="258" spans="33:39" x14ac:dyDescent="0.35">
      <c r="AG258" s="122" t="s">
        <v>419</v>
      </c>
      <c r="AH258" s="122" t="s">
        <v>416</v>
      </c>
      <c r="AI258" s="122">
        <v>2050</v>
      </c>
      <c r="AJ258" s="122" t="str">
        <f t="shared" si="301"/>
        <v>Rail</v>
      </c>
      <c r="AK258" s="122" t="str">
        <f t="shared" ref="AK258:AL258" si="302">B26</f>
        <v>Dry bulk</v>
      </c>
      <c r="AL258" s="122" t="str">
        <f t="shared" si="302"/>
        <v>Catenary</v>
      </c>
      <c r="AM258" s="132">
        <f t="shared" ref="AM258:AM276" si="303">AB26</f>
        <v>1</v>
      </c>
    </row>
    <row r="259" spans="33:39" x14ac:dyDescent="0.35">
      <c r="AG259" s="122" t="s">
        <v>86</v>
      </c>
      <c r="AH259" s="122" t="s">
        <v>416</v>
      </c>
      <c r="AI259" s="122">
        <v>2050</v>
      </c>
      <c r="AJ259" s="122" t="str">
        <f t="shared" si="301"/>
        <v>Rail</v>
      </c>
      <c r="AK259" s="122" t="str">
        <f t="shared" ref="AK259:AL259" si="304">B27</f>
        <v>Dry bulk</v>
      </c>
      <c r="AL259" s="122" t="str">
        <f t="shared" si="304"/>
        <v>Battery</v>
      </c>
      <c r="AM259" s="132">
        <f t="shared" si="303"/>
        <v>1</v>
      </c>
    </row>
    <row r="260" spans="33:39" x14ac:dyDescent="0.35">
      <c r="AG260" s="122" t="s">
        <v>102</v>
      </c>
      <c r="AH260" s="122" t="s">
        <v>416</v>
      </c>
      <c r="AI260" s="122">
        <v>2050</v>
      </c>
      <c r="AJ260" s="122" t="str">
        <f t="shared" si="301"/>
        <v>Rail</v>
      </c>
      <c r="AK260" s="122" t="str">
        <f t="shared" ref="AK260:AL260" si="305">B28</f>
        <v>Dry bulk</v>
      </c>
      <c r="AL260" s="122" t="str">
        <f t="shared" si="305"/>
        <v>Hydrogen</v>
      </c>
      <c r="AM260" s="132">
        <f t="shared" si="303"/>
        <v>1</v>
      </c>
    </row>
    <row r="261" spans="33:39" x14ac:dyDescent="0.35">
      <c r="AG261" s="122" t="s">
        <v>419</v>
      </c>
      <c r="AH261" s="122" t="s">
        <v>416</v>
      </c>
      <c r="AI261" s="122">
        <v>2050</v>
      </c>
      <c r="AJ261" s="122" t="str">
        <f t="shared" si="301"/>
        <v>Rail</v>
      </c>
      <c r="AK261" s="122" t="str">
        <f t="shared" ref="AK261:AL261" si="306">B29</f>
        <v>Liquid bulk</v>
      </c>
      <c r="AL261" s="122" t="str">
        <f t="shared" si="306"/>
        <v>Diesel</v>
      </c>
      <c r="AM261" s="132">
        <f t="shared" si="303"/>
        <v>1</v>
      </c>
    </row>
    <row r="262" spans="33:39" x14ac:dyDescent="0.35">
      <c r="AG262" s="122" t="s">
        <v>419</v>
      </c>
      <c r="AH262" s="122" t="s">
        <v>416</v>
      </c>
      <c r="AI262" s="122">
        <v>2050</v>
      </c>
      <c r="AJ262" s="122" t="str">
        <f t="shared" si="301"/>
        <v>Rail</v>
      </c>
      <c r="AK262" s="122" t="str">
        <f t="shared" ref="AK262:AL262" si="307">B30</f>
        <v>Liquid bulk</v>
      </c>
      <c r="AL262" s="122" t="str">
        <f t="shared" si="307"/>
        <v>Catenary</v>
      </c>
      <c r="AM262" s="132">
        <f t="shared" si="303"/>
        <v>1</v>
      </c>
    </row>
    <row r="263" spans="33:39" x14ac:dyDescent="0.35">
      <c r="AG263" s="122" t="s">
        <v>86</v>
      </c>
      <c r="AH263" s="122" t="s">
        <v>416</v>
      </c>
      <c r="AI263" s="122">
        <v>2050</v>
      </c>
      <c r="AJ263" s="122" t="str">
        <f t="shared" si="301"/>
        <v>Rail</v>
      </c>
      <c r="AK263" s="122" t="str">
        <f t="shared" ref="AK263:AL263" si="308">B31</f>
        <v>Liquid bulk</v>
      </c>
      <c r="AL263" s="122" t="str">
        <f t="shared" si="308"/>
        <v>Battery</v>
      </c>
      <c r="AM263" s="132">
        <f t="shared" si="303"/>
        <v>1</v>
      </c>
    </row>
    <row r="264" spans="33:39" x14ac:dyDescent="0.35">
      <c r="AG264" s="122" t="s">
        <v>102</v>
      </c>
      <c r="AH264" s="122" t="s">
        <v>416</v>
      </c>
      <c r="AI264" s="122">
        <v>2050</v>
      </c>
      <c r="AJ264" s="122" t="str">
        <f t="shared" ref="AJ264:AL264" si="309">A32</f>
        <v>Rail</v>
      </c>
      <c r="AK264" s="122" t="str">
        <f t="shared" si="309"/>
        <v>Liquid bulk</v>
      </c>
      <c r="AL264" s="122" t="str">
        <f t="shared" si="309"/>
        <v>Hydrogen</v>
      </c>
      <c r="AM264" s="132">
        <f t="shared" si="303"/>
        <v>1</v>
      </c>
    </row>
    <row r="265" spans="33:39" x14ac:dyDescent="0.35">
      <c r="AG265" s="122" t="s">
        <v>419</v>
      </c>
      <c r="AH265" s="122" t="s">
        <v>416</v>
      </c>
      <c r="AI265" s="122">
        <v>2050</v>
      </c>
      <c r="AJ265" s="122" t="str">
        <f t="shared" ref="AJ265:AL265" si="310">A33</f>
        <v>Rail</v>
      </c>
      <c r="AK265" s="122" t="str">
        <f t="shared" si="310"/>
        <v>Container</v>
      </c>
      <c r="AL265" s="122" t="str">
        <f t="shared" si="310"/>
        <v>Diesel</v>
      </c>
      <c r="AM265" s="132">
        <f t="shared" si="303"/>
        <v>1</v>
      </c>
    </row>
    <row r="266" spans="33:39" x14ac:dyDescent="0.35">
      <c r="AG266" s="122" t="s">
        <v>419</v>
      </c>
      <c r="AH266" s="122" t="s">
        <v>416</v>
      </c>
      <c r="AI266" s="122">
        <v>2050</v>
      </c>
      <c r="AJ266" s="122" t="str">
        <f t="shared" ref="AJ266:AL266" si="311">A34</f>
        <v>Rail</v>
      </c>
      <c r="AK266" s="122" t="str">
        <f t="shared" si="311"/>
        <v>Container</v>
      </c>
      <c r="AL266" s="122" t="str">
        <f t="shared" si="311"/>
        <v>Catenary</v>
      </c>
      <c r="AM266" s="132">
        <f t="shared" si="303"/>
        <v>1</v>
      </c>
    </row>
    <row r="267" spans="33:39" x14ac:dyDescent="0.35">
      <c r="AG267" s="122" t="s">
        <v>86</v>
      </c>
      <c r="AH267" s="122" t="s">
        <v>416</v>
      </c>
      <c r="AI267" s="122">
        <v>2050</v>
      </c>
      <c r="AJ267" s="122" t="str">
        <f t="shared" ref="AJ267:AL267" si="312">A35</f>
        <v>Rail</v>
      </c>
      <c r="AK267" s="122" t="str">
        <f t="shared" si="312"/>
        <v>Container</v>
      </c>
      <c r="AL267" s="122" t="str">
        <f t="shared" si="312"/>
        <v>Battery</v>
      </c>
      <c r="AM267" s="132">
        <f t="shared" si="303"/>
        <v>1</v>
      </c>
    </row>
    <row r="268" spans="33:39" x14ac:dyDescent="0.35">
      <c r="AG268" s="122" t="s">
        <v>102</v>
      </c>
      <c r="AH268" s="122" t="s">
        <v>416</v>
      </c>
      <c r="AI268" s="122">
        <v>2050</v>
      </c>
      <c r="AJ268" s="122" t="str">
        <f t="shared" ref="AJ268:AL268" si="313">A36</f>
        <v>Rail</v>
      </c>
      <c r="AK268" s="122" t="str">
        <f t="shared" si="313"/>
        <v>Container</v>
      </c>
      <c r="AL268" s="122" t="str">
        <f t="shared" si="313"/>
        <v>Hydrogen</v>
      </c>
      <c r="AM268" s="132">
        <f t="shared" si="303"/>
        <v>1</v>
      </c>
    </row>
    <row r="269" spans="33:39" x14ac:dyDescent="0.35">
      <c r="AG269" s="122" t="s">
        <v>419</v>
      </c>
      <c r="AH269" s="122" t="s">
        <v>416</v>
      </c>
      <c r="AI269" s="122">
        <v>2050</v>
      </c>
      <c r="AJ269" s="122" t="str">
        <f t="shared" ref="AJ269:AL269" si="314">A37</f>
        <v>Rail</v>
      </c>
      <c r="AK269" s="122" t="str">
        <f t="shared" si="314"/>
        <v>Break bulk</v>
      </c>
      <c r="AL269" s="122" t="str">
        <f t="shared" si="314"/>
        <v>Diesel</v>
      </c>
      <c r="AM269" s="132">
        <f t="shared" si="303"/>
        <v>1</v>
      </c>
    </row>
    <row r="270" spans="33:39" x14ac:dyDescent="0.35">
      <c r="AG270" s="122" t="s">
        <v>419</v>
      </c>
      <c r="AH270" s="122" t="s">
        <v>416</v>
      </c>
      <c r="AI270" s="122">
        <v>2050</v>
      </c>
      <c r="AJ270" s="122" t="str">
        <f t="shared" ref="AJ270:AL270" si="315">A38</f>
        <v>Rail</v>
      </c>
      <c r="AK270" s="122" t="str">
        <f t="shared" si="315"/>
        <v>Break bulk</v>
      </c>
      <c r="AL270" s="122" t="str">
        <f t="shared" si="315"/>
        <v>Catenary</v>
      </c>
      <c r="AM270" s="132">
        <f t="shared" si="303"/>
        <v>1</v>
      </c>
    </row>
    <row r="271" spans="33:39" x14ac:dyDescent="0.35">
      <c r="AG271" s="122" t="s">
        <v>86</v>
      </c>
      <c r="AH271" s="122" t="s">
        <v>416</v>
      </c>
      <c r="AI271" s="122">
        <v>2050</v>
      </c>
      <c r="AJ271" s="122" t="str">
        <f t="shared" ref="AJ271:AL271" si="316">A39</f>
        <v>Rail</v>
      </c>
      <c r="AK271" s="122" t="str">
        <f t="shared" si="316"/>
        <v>Break bulk</v>
      </c>
      <c r="AL271" s="122" t="str">
        <f t="shared" si="316"/>
        <v>Battery</v>
      </c>
      <c r="AM271" s="132">
        <f t="shared" si="303"/>
        <v>1</v>
      </c>
    </row>
    <row r="272" spans="33:39" x14ac:dyDescent="0.35">
      <c r="AG272" s="122" t="s">
        <v>102</v>
      </c>
      <c r="AH272" s="122" t="s">
        <v>416</v>
      </c>
      <c r="AI272" s="122">
        <v>2050</v>
      </c>
      <c r="AJ272" s="122" t="str">
        <f t="shared" ref="AJ272:AL272" si="317">A40</f>
        <v>Rail</v>
      </c>
      <c r="AK272" s="122" t="str">
        <f t="shared" si="317"/>
        <v>Break bulk</v>
      </c>
      <c r="AL272" s="122" t="str">
        <f t="shared" si="317"/>
        <v>Hydrogen</v>
      </c>
      <c r="AM272" s="132">
        <f t="shared" si="303"/>
        <v>1</v>
      </c>
    </row>
    <row r="273" spans="33:39" x14ac:dyDescent="0.35">
      <c r="AG273" s="122" t="s">
        <v>419</v>
      </c>
      <c r="AH273" s="122" t="s">
        <v>416</v>
      </c>
      <c r="AI273" s="122">
        <v>2050</v>
      </c>
      <c r="AJ273" s="122" t="str">
        <f t="shared" ref="AJ273:AL273" si="318">A41</f>
        <v>Rail</v>
      </c>
      <c r="AK273" s="122" t="str">
        <f t="shared" si="318"/>
        <v>Neo bulk</v>
      </c>
      <c r="AL273" s="122" t="str">
        <f t="shared" si="318"/>
        <v>Diesel</v>
      </c>
      <c r="AM273" s="132">
        <f t="shared" si="303"/>
        <v>1</v>
      </c>
    </row>
    <row r="274" spans="33:39" x14ac:dyDescent="0.35">
      <c r="AG274" s="122" t="s">
        <v>419</v>
      </c>
      <c r="AH274" s="122" t="s">
        <v>416</v>
      </c>
      <c r="AI274" s="122">
        <v>2050</v>
      </c>
      <c r="AJ274" s="122" t="str">
        <f t="shared" ref="AJ274:AL274" si="319">A42</f>
        <v>Rail</v>
      </c>
      <c r="AK274" s="122" t="str">
        <f t="shared" si="319"/>
        <v>Neo bulk</v>
      </c>
      <c r="AL274" s="122" t="str">
        <f t="shared" si="319"/>
        <v>Catenary</v>
      </c>
      <c r="AM274" s="132">
        <f t="shared" si="303"/>
        <v>1</v>
      </c>
    </row>
    <row r="275" spans="33:39" x14ac:dyDescent="0.35">
      <c r="AG275" s="122" t="s">
        <v>86</v>
      </c>
      <c r="AH275" s="122" t="s">
        <v>416</v>
      </c>
      <c r="AI275" s="122">
        <v>2050</v>
      </c>
      <c r="AJ275" s="122" t="str">
        <f t="shared" ref="AJ275:AL275" si="320">A43</f>
        <v>Rail</v>
      </c>
      <c r="AK275" s="122" t="str">
        <f t="shared" si="320"/>
        <v>Neo bulk</v>
      </c>
      <c r="AL275" s="122" t="str">
        <f t="shared" si="320"/>
        <v>Battery</v>
      </c>
      <c r="AM275" s="132">
        <f t="shared" si="303"/>
        <v>1</v>
      </c>
    </row>
    <row r="276" spans="33:39" x14ac:dyDescent="0.35">
      <c r="AG276" s="122" t="s">
        <v>102</v>
      </c>
      <c r="AH276" s="122" t="s">
        <v>416</v>
      </c>
      <c r="AI276" s="122">
        <v>2050</v>
      </c>
      <c r="AJ276" s="122" t="str">
        <f t="shared" ref="AJ276:AL276" si="321">A44</f>
        <v>Rail</v>
      </c>
      <c r="AK276" s="122" t="str">
        <f t="shared" si="321"/>
        <v>Neo bulk</v>
      </c>
      <c r="AL276" s="122" t="str">
        <f t="shared" si="321"/>
        <v>Hydrogen</v>
      </c>
      <c r="AM276" s="132">
        <f t="shared" si="303"/>
        <v>1</v>
      </c>
    </row>
    <row r="277" spans="33:39" x14ac:dyDescent="0.35">
      <c r="AG277" s="122" t="s">
        <v>419</v>
      </c>
      <c r="AH277" s="122" t="s">
        <v>417</v>
      </c>
      <c r="AI277" s="122">
        <v>2050</v>
      </c>
      <c r="AJ277" s="122" t="str">
        <f>A25</f>
        <v>Rail</v>
      </c>
      <c r="AK277" s="122" t="str">
        <f>B25</f>
        <v>Dry bulk</v>
      </c>
      <c r="AL277" s="122" t="str">
        <f>C25</f>
        <v>Diesel</v>
      </c>
      <c r="AM277" s="132">
        <f>AC25</f>
        <v>0.90431046733281617</v>
      </c>
    </row>
    <row r="278" spans="33:39" x14ac:dyDescent="0.35">
      <c r="AG278" s="122" t="s">
        <v>419</v>
      </c>
      <c r="AH278" s="122" t="s">
        <v>417</v>
      </c>
      <c r="AI278" s="122">
        <v>2050</v>
      </c>
      <c r="AJ278" s="122" t="str">
        <f t="shared" ref="AJ278:AL278" si="322">A26</f>
        <v>Rail</v>
      </c>
      <c r="AK278" s="122" t="str">
        <f t="shared" si="322"/>
        <v>Dry bulk</v>
      </c>
      <c r="AL278" s="122" t="str">
        <f t="shared" si="322"/>
        <v>Catenary</v>
      </c>
      <c r="AM278" s="132">
        <f t="shared" ref="AM278:AM296" si="323">AC26</f>
        <v>0.98066648848677651</v>
      </c>
    </row>
    <row r="279" spans="33:39" x14ac:dyDescent="0.35">
      <c r="AG279" s="122" t="s">
        <v>86</v>
      </c>
      <c r="AH279" s="122" t="s">
        <v>417</v>
      </c>
      <c r="AI279" s="122">
        <v>2050</v>
      </c>
      <c r="AJ279" s="122" t="str">
        <f t="shared" ref="AJ279:AL279" si="324">A27</f>
        <v>Rail</v>
      </c>
      <c r="AK279" s="122" t="str">
        <f t="shared" si="324"/>
        <v>Dry bulk</v>
      </c>
      <c r="AL279" s="122" t="str">
        <f t="shared" si="324"/>
        <v>Battery</v>
      </c>
      <c r="AM279" s="132">
        <f t="shared" si="323"/>
        <v>0.98118018652284367</v>
      </c>
    </row>
    <row r="280" spans="33:39" x14ac:dyDescent="0.35">
      <c r="AG280" s="122" t="s">
        <v>102</v>
      </c>
      <c r="AH280" s="122" t="s">
        <v>417</v>
      </c>
      <c r="AI280" s="122">
        <v>2050</v>
      </c>
      <c r="AJ280" s="122" t="str">
        <f t="shared" ref="AJ280:AL280" si="325">A28</f>
        <v>Rail</v>
      </c>
      <c r="AK280" s="122" t="str">
        <f t="shared" si="325"/>
        <v>Dry bulk</v>
      </c>
      <c r="AL280" s="122" t="str">
        <f t="shared" si="325"/>
        <v>Hydrogen</v>
      </c>
      <c r="AM280" s="132">
        <f t="shared" si="323"/>
        <v>0.9667705247070536</v>
      </c>
    </row>
    <row r="281" spans="33:39" x14ac:dyDescent="0.35">
      <c r="AG281" s="122" t="s">
        <v>419</v>
      </c>
      <c r="AH281" s="122" t="s">
        <v>417</v>
      </c>
      <c r="AI281" s="122">
        <v>2050</v>
      </c>
      <c r="AJ281" s="122" t="str">
        <f t="shared" ref="AJ281:AL281" si="326">A29</f>
        <v>Rail</v>
      </c>
      <c r="AK281" s="122" t="str">
        <f t="shared" si="326"/>
        <v>Liquid bulk</v>
      </c>
      <c r="AL281" s="122" t="str">
        <f t="shared" si="326"/>
        <v>Diesel</v>
      </c>
      <c r="AM281" s="132">
        <f t="shared" si="323"/>
        <v>0.90507894822232582</v>
      </c>
    </row>
    <row r="282" spans="33:39" x14ac:dyDescent="0.35">
      <c r="AG282" s="122" t="s">
        <v>419</v>
      </c>
      <c r="AH282" s="122" t="s">
        <v>417</v>
      </c>
      <c r="AI282" s="122">
        <v>2050</v>
      </c>
      <c r="AJ282" s="122" t="str">
        <f t="shared" ref="AJ282:AL282" si="327">A30</f>
        <v>Rail</v>
      </c>
      <c r="AK282" s="122" t="str">
        <f t="shared" si="327"/>
        <v>Liquid bulk</v>
      </c>
      <c r="AL282" s="122" t="str">
        <f t="shared" si="327"/>
        <v>Catenary</v>
      </c>
      <c r="AM282" s="132">
        <f t="shared" si="323"/>
        <v>0.98084468664129654</v>
      </c>
    </row>
    <row r="283" spans="33:39" x14ac:dyDescent="0.35">
      <c r="AG283" s="122" t="s">
        <v>86</v>
      </c>
      <c r="AH283" s="122" t="s">
        <v>417</v>
      </c>
      <c r="AI283" s="122">
        <v>2050</v>
      </c>
      <c r="AJ283" s="122" t="str">
        <f t="shared" ref="AJ283:AL283" si="328">A31</f>
        <v>Rail</v>
      </c>
      <c r="AK283" s="122" t="str">
        <f t="shared" si="328"/>
        <v>Liquid bulk</v>
      </c>
      <c r="AL283" s="122" t="str">
        <f t="shared" si="328"/>
        <v>Battery</v>
      </c>
      <c r="AM283" s="132">
        <f t="shared" si="323"/>
        <v>0.98133873459721155</v>
      </c>
    </row>
    <row r="284" spans="33:39" x14ac:dyDescent="0.35">
      <c r="AG284" s="122" t="s">
        <v>102</v>
      </c>
      <c r="AH284" s="122" t="s">
        <v>417</v>
      </c>
      <c r="AI284" s="122">
        <v>2050</v>
      </c>
      <c r="AJ284" s="122" t="str">
        <f t="shared" ref="AJ284:AL284" si="329">A32</f>
        <v>Rail</v>
      </c>
      <c r="AK284" s="122" t="str">
        <f t="shared" si="329"/>
        <v>Liquid bulk</v>
      </c>
      <c r="AL284" s="122" t="str">
        <f t="shared" si="329"/>
        <v>Hydrogen</v>
      </c>
      <c r="AM284" s="132">
        <f t="shared" si="323"/>
        <v>0.96706028296676316</v>
      </c>
    </row>
    <row r="285" spans="33:39" x14ac:dyDescent="0.35">
      <c r="AG285" s="122" t="s">
        <v>419</v>
      </c>
      <c r="AH285" s="122" t="s">
        <v>417</v>
      </c>
      <c r="AI285" s="122">
        <v>2050</v>
      </c>
      <c r="AJ285" s="122" t="str">
        <f t="shared" ref="AJ285:AL285" si="330">A33</f>
        <v>Rail</v>
      </c>
      <c r="AK285" s="122" t="str">
        <f t="shared" si="330"/>
        <v>Container</v>
      </c>
      <c r="AL285" s="122" t="str">
        <f t="shared" si="330"/>
        <v>Diesel</v>
      </c>
      <c r="AM285" s="132">
        <f t="shared" si="323"/>
        <v>0.89906424986937139</v>
      </c>
    </row>
    <row r="286" spans="33:39" x14ac:dyDescent="0.35">
      <c r="AG286" s="122" t="s">
        <v>419</v>
      </c>
      <c r="AH286" s="122" t="s">
        <v>417</v>
      </c>
      <c r="AI286" s="122">
        <v>2050</v>
      </c>
      <c r="AJ286" s="122" t="str">
        <f t="shared" ref="AJ286:AL286" si="331">A34</f>
        <v>Rail</v>
      </c>
      <c r="AK286" s="122" t="str">
        <f t="shared" si="331"/>
        <v>Container</v>
      </c>
      <c r="AL286" s="122" t="str">
        <f t="shared" si="331"/>
        <v>Catenary</v>
      </c>
      <c r="AM286" s="132">
        <f t="shared" si="323"/>
        <v>0.97943848441150672</v>
      </c>
    </row>
    <row r="287" spans="33:39" x14ac:dyDescent="0.35">
      <c r="AG287" s="122" t="s">
        <v>86</v>
      </c>
      <c r="AH287" s="122" t="s">
        <v>417</v>
      </c>
      <c r="AI287" s="122">
        <v>2050</v>
      </c>
      <c r="AJ287" s="122" t="str">
        <f t="shared" ref="AJ287:AL287" si="332">A35</f>
        <v>Rail</v>
      </c>
      <c r="AK287" s="122" t="str">
        <f t="shared" si="332"/>
        <v>Container</v>
      </c>
      <c r="AL287" s="122" t="str">
        <f t="shared" si="332"/>
        <v>Battery</v>
      </c>
      <c r="AM287" s="132">
        <f t="shared" si="323"/>
        <v>0.98008984058990267</v>
      </c>
    </row>
    <row r="288" spans="33:39" x14ac:dyDescent="0.35">
      <c r="AG288" s="122" t="s">
        <v>102</v>
      </c>
      <c r="AH288" s="122" t="s">
        <v>417</v>
      </c>
      <c r="AI288" s="122">
        <v>2050</v>
      </c>
      <c r="AJ288" s="122" t="str">
        <f t="shared" ref="AJ288:AL288" si="333">A36</f>
        <v>Rail</v>
      </c>
      <c r="AK288" s="122" t="str">
        <f t="shared" si="333"/>
        <v>Container</v>
      </c>
      <c r="AL288" s="122" t="str">
        <f t="shared" si="333"/>
        <v>Hydrogen</v>
      </c>
      <c r="AM288" s="132">
        <f t="shared" si="323"/>
        <v>0.96477316930373147</v>
      </c>
    </row>
    <row r="289" spans="33:39" x14ac:dyDescent="0.35">
      <c r="AG289" s="122" t="s">
        <v>419</v>
      </c>
      <c r="AH289" s="122" t="s">
        <v>417</v>
      </c>
      <c r="AI289" s="122">
        <v>2050</v>
      </c>
      <c r="AJ289" s="122" t="str">
        <f t="shared" ref="AJ289:AL289" si="334">A37</f>
        <v>Rail</v>
      </c>
      <c r="AK289" s="122" t="str">
        <f t="shared" si="334"/>
        <v>Break bulk</v>
      </c>
      <c r="AL289" s="122" t="str">
        <f t="shared" si="334"/>
        <v>Diesel</v>
      </c>
      <c r="AM289" s="132">
        <f t="shared" si="323"/>
        <v>0.9351040033640603</v>
      </c>
    </row>
    <row r="290" spans="33:39" x14ac:dyDescent="0.35">
      <c r="AG290" s="122" t="s">
        <v>419</v>
      </c>
      <c r="AH290" s="122" t="s">
        <v>417</v>
      </c>
      <c r="AI290" s="122">
        <v>2050</v>
      </c>
      <c r="AJ290" s="122" t="str">
        <f t="shared" ref="AJ290:AL290" si="335">A38</f>
        <v>Rail</v>
      </c>
      <c r="AK290" s="122" t="str">
        <f t="shared" si="335"/>
        <v>Break bulk</v>
      </c>
      <c r="AL290" s="122" t="str">
        <f t="shared" si="335"/>
        <v>Catenary</v>
      </c>
      <c r="AM290" s="132">
        <f t="shared" si="323"/>
        <v>0.9874883170087837</v>
      </c>
    </row>
    <row r="291" spans="33:39" x14ac:dyDescent="0.35">
      <c r="AG291" s="122" t="s">
        <v>86</v>
      </c>
      <c r="AH291" s="122" t="s">
        <v>417</v>
      </c>
      <c r="AI291" s="122">
        <v>2050</v>
      </c>
      <c r="AJ291" s="122" t="str">
        <f t="shared" ref="AJ291:AL291" si="336">A39</f>
        <v>Rail</v>
      </c>
      <c r="AK291" s="122" t="str">
        <f t="shared" si="336"/>
        <v>Break bulk</v>
      </c>
      <c r="AL291" s="122" t="str">
        <f t="shared" si="336"/>
        <v>Battery</v>
      </c>
      <c r="AM291" s="132">
        <f t="shared" si="323"/>
        <v>0.98744966304684545</v>
      </c>
    </row>
    <row r="292" spans="33:39" x14ac:dyDescent="0.35">
      <c r="AG292" s="122" t="s">
        <v>102</v>
      </c>
      <c r="AH292" s="122" t="s">
        <v>417</v>
      </c>
      <c r="AI292" s="122">
        <v>2050</v>
      </c>
      <c r="AJ292" s="122" t="str">
        <f t="shared" ref="AJ292:AL292" si="337">A40</f>
        <v>Rail</v>
      </c>
      <c r="AK292" s="122" t="str">
        <f t="shared" si="337"/>
        <v>Break bulk</v>
      </c>
      <c r="AL292" s="122" t="str">
        <f t="shared" si="337"/>
        <v>Hydrogen</v>
      </c>
      <c r="AM292" s="132">
        <f t="shared" si="323"/>
        <v>0.97809833594378248</v>
      </c>
    </row>
    <row r="293" spans="33:39" x14ac:dyDescent="0.35">
      <c r="AG293" s="122" t="s">
        <v>419</v>
      </c>
      <c r="AH293" s="122" t="s">
        <v>417</v>
      </c>
      <c r="AI293" s="122">
        <v>2050</v>
      </c>
      <c r="AJ293" s="122" t="str">
        <f t="shared" ref="AJ293:AL293" si="338">A41</f>
        <v>Rail</v>
      </c>
      <c r="AK293" s="122" t="str">
        <f t="shared" si="338"/>
        <v>Neo bulk</v>
      </c>
      <c r="AL293" s="122" t="str">
        <f t="shared" si="338"/>
        <v>Diesel</v>
      </c>
      <c r="AM293" s="132">
        <f t="shared" si="323"/>
        <v>0.90315872079675574</v>
      </c>
    </row>
    <row r="294" spans="33:39" x14ac:dyDescent="0.35">
      <c r="AG294" s="122" t="s">
        <v>419</v>
      </c>
      <c r="AH294" s="122" t="s">
        <v>417</v>
      </c>
      <c r="AI294" s="122">
        <v>2050</v>
      </c>
      <c r="AJ294" s="122" t="str">
        <f t="shared" ref="AJ294:AL294" si="339">A42</f>
        <v>Rail</v>
      </c>
      <c r="AK294" s="122" t="str">
        <f t="shared" si="339"/>
        <v>Neo bulk</v>
      </c>
      <c r="AL294" s="122" t="str">
        <f t="shared" si="339"/>
        <v>Catenary</v>
      </c>
      <c r="AM294" s="132">
        <f t="shared" si="323"/>
        <v>0.98039861697836606</v>
      </c>
    </row>
    <row r="295" spans="33:39" x14ac:dyDescent="0.35">
      <c r="AG295" s="122" t="s">
        <v>86</v>
      </c>
      <c r="AH295" s="122" t="s">
        <v>417</v>
      </c>
      <c r="AI295" s="122">
        <v>2050</v>
      </c>
      <c r="AJ295" s="122" t="str">
        <f t="shared" ref="AJ295:AL295" si="340">A43</f>
        <v>Rail</v>
      </c>
      <c r="AK295" s="122" t="str">
        <f t="shared" si="340"/>
        <v>Neo bulk</v>
      </c>
      <c r="AL295" s="122" t="str">
        <f t="shared" si="340"/>
        <v>Battery</v>
      </c>
      <c r="AM295" s="132">
        <f t="shared" si="323"/>
        <v>0.98094053343434851</v>
      </c>
    </row>
    <row r="296" spans="33:39" x14ac:dyDescent="0.35">
      <c r="AG296" s="122" t="s">
        <v>102</v>
      </c>
      <c r="AH296" s="122" t="s">
        <v>417</v>
      </c>
      <c r="AI296" s="122">
        <v>2050</v>
      </c>
      <c r="AJ296" s="122" t="str">
        <f t="shared" ref="AJ296:AL296" si="341">A44</f>
        <v>Rail</v>
      </c>
      <c r="AK296" s="122" t="str">
        <f t="shared" si="341"/>
        <v>Neo bulk</v>
      </c>
      <c r="AL296" s="122" t="str">
        <f t="shared" si="341"/>
        <v>Hydrogen</v>
      </c>
      <c r="AM296" s="132">
        <f t="shared" si="323"/>
        <v>0.96633222048483269</v>
      </c>
    </row>
    <row r="297" spans="33:39" x14ac:dyDescent="0.35">
      <c r="AG297" s="122" t="s">
        <v>419</v>
      </c>
      <c r="AH297" s="122" t="s">
        <v>418</v>
      </c>
      <c r="AI297" s="122">
        <v>2050</v>
      </c>
      <c r="AJ297" s="122" t="str">
        <f>A25</f>
        <v>Rail</v>
      </c>
      <c r="AK297" s="122" t="str">
        <f t="shared" ref="AK297:AL297" si="342">B25</f>
        <v>Dry bulk</v>
      </c>
      <c r="AL297" s="122" t="str">
        <f t="shared" si="342"/>
        <v>Diesel</v>
      </c>
      <c r="AM297" s="132">
        <f>AD25</f>
        <v>1.0628816928955782</v>
      </c>
    </row>
    <row r="298" spans="33:39" x14ac:dyDescent="0.35">
      <c r="AG298" s="122" t="s">
        <v>419</v>
      </c>
      <c r="AH298" s="122" t="s">
        <v>418</v>
      </c>
      <c r="AI298" s="122">
        <v>2050</v>
      </c>
      <c r="AJ298" s="122" t="str">
        <f t="shared" ref="AJ298:AJ316" si="343">A26</f>
        <v>Rail</v>
      </c>
      <c r="AK298" s="122" t="str">
        <f t="shared" ref="AK298:AK316" si="344">B26</f>
        <v>Dry bulk</v>
      </c>
      <c r="AL298" s="122" t="str">
        <f t="shared" ref="AL298:AL316" si="345">C26</f>
        <v>Catenary</v>
      </c>
      <c r="AM298" s="132">
        <f t="shared" ref="AM298:AM316" si="346">AD26</f>
        <v>1.0181251670436473</v>
      </c>
    </row>
    <row r="299" spans="33:39" x14ac:dyDescent="0.35">
      <c r="AG299" s="122" t="s">
        <v>86</v>
      </c>
      <c r="AH299" s="122" t="s">
        <v>418</v>
      </c>
      <c r="AI299" s="122">
        <v>2050</v>
      </c>
      <c r="AJ299" s="122" t="str">
        <f t="shared" si="343"/>
        <v>Rail</v>
      </c>
      <c r="AK299" s="122" t="str">
        <f t="shared" si="344"/>
        <v>Dry bulk</v>
      </c>
      <c r="AL299" s="122" t="str">
        <f t="shared" si="345"/>
        <v>Battery</v>
      </c>
      <c r="AM299" s="132">
        <f t="shared" si="346"/>
        <v>1.0176435751348338</v>
      </c>
    </row>
    <row r="300" spans="33:39" x14ac:dyDescent="0.35">
      <c r="AG300" s="122" t="s">
        <v>102</v>
      </c>
      <c r="AH300" s="122" t="s">
        <v>418</v>
      </c>
      <c r="AI300" s="122">
        <v>2050</v>
      </c>
      <c r="AJ300" s="122" t="str">
        <f t="shared" si="343"/>
        <v>Rail</v>
      </c>
      <c r="AK300" s="122" t="str">
        <f t="shared" si="344"/>
        <v>Dry bulk</v>
      </c>
      <c r="AL300" s="122" t="str">
        <f t="shared" si="345"/>
        <v>Hydrogen</v>
      </c>
      <c r="AM300" s="132">
        <f t="shared" si="346"/>
        <v>1.0311526330871377</v>
      </c>
    </row>
    <row r="301" spans="33:39" x14ac:dyDescent="0.35">
      <c r="AG301" s="122" t="s">
        <v>419</v>
      </c>
      <c r="AH301" s="122" t="s">
        <v>418</v>
      </c>
      <c r="AI301" s="122">
        <v>2050</v>
      </c>
      <c r="AJ301" s="122" t="str">
        <f t="shared" si="343"/>
        <v>Rail</v>
      </c>
      <c r="AK301" s="122" t="str">
        <f t="shared" si="344"/>
        <v>Liquid bulk</v>
      </c>
      <c r="AL301" s="122" t="str">
        <f t="shared" si="345"/>
        <v>Diesel</v>
      </c>
      <c r="AM301" s="132">
        <f t="shared" si="346"/>
        <v>1.062376691168186</v>
      </c>
    </row>
    <row r="302" spans="33:39" x14ac:dyDescent="0.35">
      <c r="AG302" s="122" t="s">
        <v>419</v>
      </c>
      <c r="AH302" s="122" t="s">
        <v>418</v>
      </c>
      <c r="AI302" s="122">
        <v>2050</v>
      </c>
      <c r="AJ302" s="122" t="str">
        <f t="shared" si="343"/>
        <v>Rail</v>
      </c>
      <c r="AK302" s="122" t="str">
        <f t="shared" si="344"/>
        <v>Liquid bulk</v>
      </c>
      <c r="AL302" s="122" t="str">
        <f t="shared" si="345"/>
        <v>Catenary</v>
      </c>
      <c r="AM302" s="132">
        <f t="shared" si="346"/>
        <v>1.0179581062737844</v>
      </c>
    </row>
    <row r="303" spans="33:39" x14ac:dyDescent="0.35">
      <c r="AG303" s="122" t="s">
        <v>86</v>
      </c>
      <c r="AH303" s="122" t="s">
        <v>418</v>
      </c>
      <c r="AI303" s="122">
        <v>2050</v>
      </c>
      <c r="AJ303" s="122" t="str">
        <f t="shared" si="343"/>
        <v>Rail</v>
      </c>
      <c r="AK303" s="122" t="str">
        <f t="shared" si="344"/>
        <v>Liquid bulk</v>
      </c>
      <c r="AL303" s="122" t="str">
        <f t="shared" si="345"/>
        <v>Battery</v>
      </c>
      <c r="AM303" s="132">
        <f t="shared" si="346"/>
        <v>1.0174949363151145</v>
      </c>
    </row>
    <row r="304" spans="33:39" x14ac:dyDescent="0.35">
      <c r="AG304" s="122" t="s">
        <v>102</v>
      </c>
      <c r="AH304" s="122" t="s">
        <v>418</v>
      </c>
      <c r="AI304" s="122">
        <v>2050</v>
      </c>
      <c r="AJ304" s="122" t="str">
        <f t="shared" si="343"/>
        <v>Rail</v>
      </c>
      <c r="AK304" s="122" t="str">
        <f t="shared" si="344"/>
        <v>Liquid bulk</v>
      </c>
      <c r="AL304" s="122" t="str">
        <f t="shared" si="345"/>
        <v>Hydrogen</v>
      </c>
      <c r="AM304" s="132">
        <f t="shared" si="346"/>
        <v>1.0308809847186597</v>
      </c>
    </row>
    <row r="305" spans="33:39" x14ac:dyDescent="0.35">
      <c r="AG305" s="122" t="s">
        <v>419</v>
      </c>
      <c r="AH305" s="122" t="s">
        <v>418</v>
      </c>
      <c r="AI305" s="122">
        <v>2050</v>
      </c>
      <c r="AJ305" s="122" t="str">
        <f t="shared" si="343"/>
        <v>Rail</v>
      </c>
      <c r="AK305" s="122" t="str">
        <f t="shared" si="344"/>
        <v>Container</v>
      </c>
      <c r="AL305" s="122" t="str">
        <f t="shared" si="345"/>
        <v>Diesel</v>
      </c>
      <c r="AM305" s="132">
        <f t="shared" si="346"/>
        <v>1.0663292072286992</v>
      </c>
    </row>
    <row r="306" spans="33:39" x14ac:dyDescent="0.35">
      <c r="AG306" s="122" t="s">
        <v>419</v>
      </c>
      <c r="AH306" s="122" t="s">
        <v>418</v>
      </c>
      <c r="AI306" s="122">
        <v>2050</v>
      </c>
      <c r="AJ306" s="122" t="str">
        <f t="shared" si="343"/>
        <v>Rail</v>
      </c>
      <c r="AK306" s="122" t="str">
        <f t="shared" si="344"/>
        <v>Container</v>
      </c>
      <c r="AL306" s="122" t="str">
        <f t="shared" si="345"/>
        <v>Catenary</v>
      </c>
      <c r="AM306" s="132">
        <f t="shared" si="346"/>
        <v>1.0192764208642127</v>
      </c>
    </row>
    <row r="307" spans="33:39" x14ac:dyDescent="0.35">
      <c r="AG307" s="122" t="s">
        <v>86</v>
      </c>
      <c r="AH307" s="122" t="s">
        <v>418</v>
      </c>
      <c r="AI307" s="122">
        <v>2050</v>
      </c>
      <c r="AJ307" s="122" t="str">
        <f t="shared" si="343"/>
        <v>Rail</v>
      </c>
      <c r="AK307" s="122" t="str">
        <f t="shared" si="344"/>
        <v>Container</v>
      </c>
      <c r="AL307" s="122" t="str">
        <f t="shared" si="345"/>
        <v>Battery</v>
      </c>
      <c r="AM307" s="132">
        <f t="shared" si="346"/>
        <v>1.0186657744469665</v>
      </c>
    </row>
    <row r="308" spans="33:39" x14ac:dyDescent="0.35">
      <c r="AG308" s="122" t="s">
        <v>102</v>
      </c>
      <c r="AH308" s="122" t="s">
        <v>418</v>
      </c>
      <c r="AI308" s="122">
        <v>2050</v>
      </c>
      <c r="AJ308" s="122" t="str">
        <f t="shared" si="343"/>
        <v>Rail</v>
      </c>
      <c r="AK308" s="122" t="str">
        <f t="shared" si="344"/>
        <v>Container</v>
      </c>
      <c r="AL308" s="122" t="str">
        <f t="shared" si="345"/>
        <v>Hydrogen</v>
      </c>
      <c r="AM308" s="132">
        <f t="shared" si="346"/>
        <v>1.0330251537777524</v>
      </c>
    </row>
    <row r="309" spans="33:39" x14ac:dyDescent="0.35">
      <c r="AG309" s="122" t="s">
        <v>419</v>
      </c>
      <c r="AH309" s="122" t="s">
        <v>418</v>
      </c>
      <c r="AI309" s="122">
        <v>2050</v>
      </c>
      <c r="AJ309" s="122" t="str">
        <f t="shared" si="343"/>
        <v>Rail</v>
      </c>
      <c r="AK309" s="122" t="str">
        <f t="shared" si="344"/>
        <v>Break bulk</v>
      </c>
      <c r="AL309" s="122" t="str">
        <f t="shared" si="345"/>
        <v>Diesel</v>
      </c>
      <c r="AM309" s="132">
        <f t="shared" si="346"/>
        <v>1.0426459406464745</v>
      </c>
    </row>
    <row r="310" spans="33:39" x14ac:dyDescent="0.35">
      <c r="AG310" s="122" t="s">
        <v>419</v>
      </c>
      <c r="AH310" s="122" t="s">
        <v>418</v>
      </c>
      <c r="AI310" s="122">
        <v>2050</v>
      </c>
      <c r="AJ310" s="122" t="str">
        <f t="shared" si="343"/>
        <v>Rail</v>
      </c>
      <c r="AK310" s="122" t="str">
        <f t="shared" si="344"/>
        <v>Break bulk</v>
      </c>
      <c r="AL310" s="122" t="str">
        <f t="shared" si="345"/>
        <v>Catenary</v>
      </c>
      <c r="AM310" s="132">
        <f t="shared" si="346"/>
        <v>1.0117297028042653</v>
      </c>
    </row>
    <row r="311" spans="33:39" x14ac:dyDescent="0.35">
      <c r="AG311" s="122" t="s">
        <v>86</v>
      </c>
      <c r="AH311" s="122" t="s">
        <v>418</v>
      </c>
      <c r="AI311" s="122">
        <v>2050</v>
      </c>
      <c r="AJ311" s="122" t="str">
        <f t="shared" si="343"/>
        <v>Rail</v>
      </c>
      <c r="AK311" s="122" t="str">
        <f t="shared" si="344"/>
        <v>Break bulk</v>
      </c>
      <c r="AL311" s="122" t="str">
        <f t="shared" si="345"/>
        <v>Battery</v>
      </c>
      <c r="AM311" s="132">
        <f t="shared" si="346"/>
        <v>1.0117659408935826</v>
      </c>
    </row>
    <row r="312" spans="33:39" x14ac:dyDescent="0.35">
      <c r="AG312" s="122" t="s">
        <v>102</v>
      </c>
      <c r="AH312" s="122" t="s">
        <v>418</v>
      </c>
      <c r="AI312" s="122">
        <v>2050</v>
      </c>
      <c r="AJ312" s="122" t="str">
        <f t="shared" si="343"/>
        <v>Rail</v>
      </c>
      <c r="AK312" s="122" t="str">
        <f t="shared" si="344"/>
        <v>Break bulk</v>
      </c>
      <c r="AL312" s="122" t="str">
        <f t="shared" si="345"/>
        <v>Hydrogen</v>
      </c>
      <c r="AM312" s="132">
        <f t="shared" si="346"/>
        <v>1.0205328100527036</v>
      </c>
    </row>
    <row r="313" spans="33:39" x14ac:dyDescent="0.35">
      <c r="AG313" s="122" t="s">
        <v>419</v>
      </c>
      <c r="AH313" s="122" t="s">
        <v>418</v>
      </c>
      <c r="AI313" s="122">
        <v>2050</v>
      </c>
      <c r="AJ313" s="122" t="str">
        <f t="shared" si="343"/>
        <v>Rail</v>
      </c>
      <c r="AK313" s="122" t="str">
        <f t="shared" si="344"/>
        <v>Neo bulk</v>
      </c>
      <c r="AL313" s="122" t="str">
        <f t="shared" si="345"/>
        <v>Diesel</v>
      </c>
      <c r="AM313" s="132">
        <f t="shared" si="346"/>
        <v>1.0636385549049889</v>
      </c>
    </row>
    <row r="314" spans="33:39" x14ac:dyDescent="0.35">
      <c r="AG314" s="122" t="s">
        <v>419</v>
      </c>
      <c r="AH314" s="122" t="s">
        <v>418</v>
      </c>
      <c r="AI314" s="122">
        <v>2050</v>
      </c>
      <c r="AJ314" s="122" t="str">
        <f t="shared" si="343"/>
        <v>Rail</v>
      </c>
      <c r="AK314" s="122" t="str">
        <f t="shared" si="344"/>
        <v>Neo bulk</v>
      </c>
      <c r="AL314" s="122" t="str">
        <f t="shared" si="345"/>
        <v>Catenary</v>
      </c>
      <c r="AM314" s="132">
        <f t="shared" si="346"/>
        <v>1.0183762965827818</v>
      </c>
    </row>
    <row r="315" spans="33:39" x14ac:dyDescent="0.35">
      <c r="AG315" s="122" t="s">
        <v>86</v>
      </c>
      <c r="AH315" s="122" t="s">
        <v>418</v>
      </c>
      <c r="AI315" s="122">
        <v>2050</v>
      </c>
      <c r="AJ315" s="122" t="str">
        <f t="shared" si="343"/>
        <v>Rail</v>
      </c>
      <c r="AK315" s="122" t="str">
        <f t="shared" si="344"/>
        <v>Neo bulk</v>
      </c>
      <c r="AL315" s="122" t="str">
        <f t="shared" si="345"/>
        <v>Battery</v>
      </c>
      <c r="AM315" s="132">
        <f t="shared" si="346"/>
        <v>1.0178682499052982</v>
      </c>
    </row>
    <row r="316" spans="33:39" x14ac:dyDescent="0.35">
      <c r="AG316" s="122" t="s">
        <v>102</v>
      </c>
      <c r="AH316" s="122" t="s">
        <v>418</v>
      </c>
      <c r="AI316" s="122">
        <v>2050</v>
      </c>
      <c r="AJ316" s="122" t="str">
        <f t="shared" si="343"/>
        <v>Rail</v>
      </c>
      <c r="AK316" s="122" t="str">
        <f t="shared" si="344"/>
        <v>Neo bulk</v>
      </c>
      <c r="AL316" s="122" t="str">
        <f t="shared" si="345"/>
        <v>Hydrogen</v>
      </c>
      <c r="AM316" s="132">
        <f t="shared" si="346"/>
        <v>1.0315635432954693</v>
      </c>
    </row>
    <row r="317" spans="33:39" x14ac:dyDescent="0.35">
      <c r="AG317" s="122" t="s">
        <v>419</v>
      </c>
      <c r="AH317" s="122" t="s">
        <v>416</v>
      </c>
      <c r="AI317" s="122">
        <v>2023</v>
      </c>
      <c r="AJ317" s="122" t="str">
        <f>A48</f>
        <v>Sea</v>
      </c>
      <c r="AK317" s="122" t="str">
        <f t="shared" ref="AK317:AL317" si="347">B48</f>
        <v>Dry bulk</v>
      </c>
      <c r="AL317" s="122" t="str">
        <f t="shared" si="347"/>
        <v>HFO</v>
      </c>
      <c r="AM317" s="132">
        <f>I48</f>
        <v>1</v>
      </c>
    </row>
    <row r="318" spans="33:39" x14ac:dyDescent="0.35">
      <c r="AG318" s="122" t="s">
        <v>419</v>
      </c>
      <c r="AH318" s="122" t="s">
        <v>416</v>
      </c>
      <c r="AI318" s="122">
        <v>2023</v>
      </c>
      <c r="AJ318" s="122" t="str">
        <f t="shared" ref="AJ318:AJ326" si="348">A49</f>
        <v>Sea</v>
      </c>
      <c r="AK318" s="122" t="str">
        <f t="shared" ref="AK318:AK327" si="349">B49</f>
        <v>Dry bulk</v>
      </c>
      <c r="AL318" s="122" t="str">
        <f t="shared" ref="AL318:AL327" si="350">C49</f>
        <v>MGO</v>
      </c>
      <c r="AM318" s="132">
        <f t="shared" ref="AM318:AM326" si="351">I49</f>
        <v>1</v>
      </c>
    </row>
    <row r="319" spans="33:39" x14ac:dyDescent="0.35">
      <c r="AG319" s="122" t="s">
        <v>102</v>
      </c>
      <c r="AH319" s="122" t="s">
        <v>416</v>
      </c>
      <c r="AI319" s="122">
        <v>2023</v>
      </c>
      <c r="AJ319" s="122" t="str">
        <f t="shared" si="348"/>
        <v>Sea</v>
      </c>
      <c r="AK319" s="122" t="str">
        <f t="shared" si="349"/>
        <v>Dry bulk</v>
      </c>
      <c r="AL319" s="122" t="str">
        <f t="shared" si="350"/>
        <v>Hydrogen</v>
      </c>
      <c r="AM319" s="132">
        <f t="shared" si="351"/>
        <v>1</v>
      </c>
    </row>
    <row r="320" spans="33:39" x14ac:dyDescent="0.35">
      <c r="AG320" s="122" t="s">
        <v>102</v>
      </c>
      <c r="AH320" s="122" t="s">
        <v>416</v>
      </c>
      <c r="AI320" s="122">
        <v>2023</v>
      </c>
      <c r="AJ320" s="122" t="str">
        <f t="shared" si="348"/>
        <v>Sea</v>
      </c>
      <c r="AK320" s="122" t="str">
        <f t="shared" si="349"/>
        <v>Dry bulk</v>
      </c>
      <c r="AL320" s="122" t="str">
        <f t="shared" si="350"/>
        <v>Ammonia</v>
      </c>
      <c r="AM320" s="132">
        <f t="shared" si="351"/>
        <v>1</v>
      </c>
    </row>
    <row r="321" spans="33:39" x14ac:dyDescent="0.35">
      <c r="AG321" s="122" t="s">
        <v>102</v>
      </c>
      <c r="AH321" s="122" t="s">
        <v>416</v>
      </c>
      <c r="AI321" s="122">
        <v>2023</v>
      </c>
      <c r="AJ321" s="122" t="str">
        <f t="shared" si="348"/>
        <v>Sea</v>
      </c>
      <c r="AK321" s="122" t="str">
        <f t="shared" si="349"/>
        <v>Dry bulk</v>
      </c>
      <c r="AL321" s="122" t="str">
        <f t="shared" si="350"/>
        <v>Methanol</v>
      </c>
      <c r="AM321" s="132">
        <f t="shared" si="351"/>
        <v>1</v>
      </c>
    </row>
    <row r="322" spans="33:39" x14ac:dyDescent="0.35">
      <c r="AG322" s="122" t="s">
        <v>419</v>
      </c>
      <c r="AH322" s="122" t="s">
        <v>416</v>
      </c>
      <c r="AI322" s="122">
        <v>2023</v>
      </c>
      <c r="AJ322" s="122" t="str">
        <f t="shared" si="348"/>
        <v>Sea</v>
      </c>
      <c r="AK322" s="122" t="str">
        <f t="shared" si="349"/>
        <v>Container</v>
      </c>
      <c r="AL322" s="122" t="str">
        <f t="shared" si="350"/>
        <v>HFO</v>
      </c>
      <c r="AM322" s="132">
        <f t="shared" si="351"/>
        <v>1</v>
      </c>
    </row>
    <row r="323" spans="33:39" x14ac:dyDescent="0.35">
      <c r="AG323" s="122" t="s">
        <v>419</v>
      </c>
      <c r="AH323" s="122" t="s">
        <v>416</v>
      </c>
      <c r="AI323" s="122">
        <v>2023</v>
      </c>
      <c r="AJ323" s="122" t="str">
        <f t="shared" si="348"/>
        <v>Sea</v>
      </c>
      <c r="AK323" s="122" t="str">
        <f t="shared" si="349"/>
        <v>Container</v>
      </c>
      <c r="AL323" s="122" t="str">
        <f t="shared" si="350"/>
        <v>MGO</v>
      </c>
      <c r="AM323" s="132">
        <f t="shared" si="351"/>
        <v>1</v>
      </c>
    </row>
    <row r="324" spans="33:39" x14ac:dyDescent="0.35">
      <c r="AG324" s="122" t="s">
        <v>102</v>
      </c>
      <c r="AH324" s="122" t="s">
        <v>416</v>
      </c>
      <c r="AI324" s="122">
        <v>2023</v>
      </c>
      <c r="AJ324" s="122" t="str">
        <f t="shared" si="348"/>
        <v>Sea</v>
      </c>
      <c r="AK324" s="122" t="str">
        <f t="shared" si="349"/>
        <v>Container</v>
      </c>
      <c r="AL324" s="122" t="str">
        <f t="shared" si="350"/>
        <v>Hydrogen</v>
      </c>
      <c r="AM324" s="132">
        <f t="shared" si="351"/>
        <v>1</v>
      </c>
    </row>
    <row r="325" spans="33:39" x14ac:dyDescent="0.35">
      <c r="AG325" s="122" t="s">
        <v>102</v>
      </c>
      <c r="AH325" s="122" t="s">
        <v>416</v>
      </c>
      <c r="AI325" s="122">
        <v>2023</v>
      </c>
      <c r="AJ325" s="122" t="str">
        <f t="shared" si="348"/>
        <v>Sea</v>
      </c>
      <c r="AK325" s="122" t="str">
        <f t="shared" si="349"/>
        <v>Container</v>
      </c>
      <c r="AL325" s="122" t="str">
        <f t="shared" si="350"/>
        <v>Ammonia</v>
      </c>
      <c r="AM325" s="132">
        <f t="shared" si="351"/>
        <v>1</v>
      </c>
    </row>
    <row r="326" spans="33:39" x14ac:dyDescent="0.35">
      <c r="AG326" s="122" t="s">
        <v>102</v>
      </c>
      <c r="AH326" s="122" t="s">
        <v>416</v>
      </c>
      <c r="AI326" s="122">
        <v>2023</v>
      </c>
      <c r="AJ326" s="122" t="str">
        <f t="shared" si="348"/>
        <v>Sea</v>
      </c>
      <c r="AK326" s="122" t="str">
        <f t="shared" si="349"/>
        <v>Container</v>
      </c>
      <c r="AL326" s="122" t="str">
        <f t="shared" si="350"/>
        <v>Methanol</v>
      </c>
      <c r="AM326" s="132">
        <f t="shared" si="351"/>
        <v>1</v>
      </c>
    </row>
    <row r="327" spans="33:39" x14ac:dyDescent="0.35">
      <c r="AG327" s="122" t="s">
        <v>419</v>
      </c>
      <c r="AH327" s="122" t="s">
        <v>416</v>
      </c>
      <c r="AI327" s="122">
        <v>2023</v>
      </c>
      <c r="AJ327" s="122" t="str">
        <f>A58</f>
        <v>Sea</v>
      </c>
      <c r="AK327" s="122" t="str">
        <f t="shared" si="349"/>
        <v>Break bulk</v>
      </c>
      <c r="AL327" s="122" t="str">
        <f t="shared" si="350"/>
        <v>HFO</v>
      </c>
      <c r="AM327" s="132">
        <f>I58</f>
        <v>1</v>
      </c>
    </row>
    <row r="328" spans="33:39" x14ac:dyDescent="0.35">
      <c r="AG328" s="122" t="s">
        <v>419</v>
      </c>
      <c r="AH328" s="122" t="s">
        <v>416</v>
      </c>
      <c r="AI328" s="122">
        <v>2023</v>
      </c>
      <c r="AJ328" s="122" t="str">
        <f t="shared" ref="AJ328:AJ333" si="352">A59</f>
        <v>Sea</v>
      </c>
      <c r="AK328" s="122" t="str">
        <f t="shared" ref="AK328:AK336" si="353">B59</f>
        <v>Break bulk</v>
      </c>
      <c r="AL328" s="122" t="str">
        <f t="shared" ref="AL328:AL336" si="354">C59</f>
        <v>MGO</v>
      </c>
      <c r="AM328" s="132">
        <f t="shared" ref="AM328:AM333" si="355">I59</f>
        <v>1</v>
      </c>
    </row>
    <row r="329" spans="33:39" x14ac:dyDescent="0.35">
      <c r="AG329" s="122" t="s">
        <v>102</v>
      </c>
      <c r="AH329" s="122" t="s">
        <v>416</v>
      </c>
      <c r="AI329" s="122">
        <v>2023</v>
      </c>
      <c r="AJ329" s="122" t="str">
        <f t="shared" si="352"/>
        <v>Sea</v>
      </c>
      <c r="AK329" s="122" t="str">
        <f t="shared" si="353"/>
        <v>Break bulk</v>
      </c>
      <c r="AL329" s="122" t="str">
        <f t="shared" si="354"/>
        <v>Hydrogen</v>
      </c>
      <c r="AM329" s="132">
        <f t="shared" si="355"/>
        <v>1</v>
      </c>
    </row>
    <row r="330" spans="33:39" x14ac:dyDescent="0.35">
      <c r="AG330" s="122" t="s">
        <v>102</v>
      </c>
      <c r="AH330" s="122" t="s">
        <v>416</v>
      </c>
      <c r="AI330" s="122">
        <v>2023</v>
      </c>
      <c r="AJ330" s="122" t="str">
        <f t="shared" si="352"/>
        <v>Sea</v>
      </c>
      <c r="AK330" s="122" t="str">
        <f t="shared" si="353"/>
        <v>Break bulk</v>
      </c>
      <c r="AL330" s="122" t="str">
        <f t="shared" si="354"/>
        <v>Ammonia</v>
      </c>
      <c r="AM330" s="132">
        <f t="shared" si="355"/>
        <v>1</v>
      </c>
    </row>
    <row r="331" spans="33:39" x14ac:dyDescent="0.35">
      <c r="AG331" s="122" t="s">
        <v>102</v>
      </c>
      <c r="AH331" s="122" t="s">
        <v>416</v>
      </c>
      <c r="AI331" s="122">
        <v>2023</v>
      </c>
      <c r="AJ331" s="122" t="str">
        <f t="shared" si="352"/>
        <v>Sea</v>
      </c>
      <c r="AK331" s="122" t="str">
        <f t="shared" si="353"/>
        <v>Break bulk</v>
      </c>
      <c r="AL331" s="122" t="str">
        <f t="shared" si="354"/>
        <v>Methanol</v>
      </c>
      <c r="AM331" s="132">
        <f t="shared" si="355"/>
        <v>1</v>
      </c>
    </row>
    <row r="332" spans="33:39" x14ac:dyDescent="0.35">
      <c r="AG332" s="122" t="s">
        <v>419</v>
      </c>
      <c r="AH332" s="122" t="s">
        <v>416</v>
      </c>
      <c r="AI332" s="122">
        <v>2023</v>
      </c>
      <c r="AJ332" s="122" t="str">
        <f t="shared" si="352"/>
        <v>Sea</v>
      </c>
      <c r="AK332" s="122" t="str">
        <f t="shared" si="353"/>
        <v>Neo bulk</v>
      </c>
      <c r="AL332" s="122" t="str">
        <f t="shared" si="354"/>
        <v>HFO</v>
      </c>
      <c r="AM332" s="132">
        <f t="shared" si="355"/>
        <v>1</v>
      </c>
    </row>
    <row r="333" spans="33:39" x14ac:dyDescent="0.35">
      <c r="AG333" s="122" t="s">
        <v>419</v>
      </c>
      <c r="AH333" s="122" t="s">
        <v>416</v>
      </c>
      <c r="AI333" s="122">
        <v>2023</v>
      </c>
      <c r="AJ333" s="122" t="str">
        <f t="shared" si="352"/>
        <v>Sea</v>
      </c>
      <c r="AK333" s="122" t="str">
        <f t="shared" si="353"/>
        <v>Neo bulk</v>
      </c>
      <c r="AL333" s="122" t="str">
        <f t="shared" si="354"/>
        <v>MGO</v>
      </c>
      <c r="AM333" s="132">
        <f t="shared" si="355"/>
        <v>1</v>
      </c>
    </row>
    <row r="334" spans="33:39" x14ac:dyDescent="0.35">
      <c r="AG334" s="122" t="s">
        <v>102</v>
      </c>
      <c r="AH334" s="122" t="s">
        <v>416</v>
      </c>
      <c r="AI334" s="122">
        <v>2023</v>
      </c>
      <c r="AJ334" s="122" t="str">
        <f>A65</f>
        <v>Sea</v>
      </c>
      <c r="AK334" s="122" t="str">
        <f t="shared" si="353"/>
        <v>Neo bulk</v>
      </c>
      <c r="AL334" s="122" t="str">
        <f t="shared" si="354"/>
        <v>Hydrogen</v>
      </c>
      <c r="AM334" s="132">
        <f>I65</f>
        <v>1</v>
      </c>
    </row>
    <row r="335" spans="33:39" x14ac:dyDescent="0.35">
      <c r="AG335" s="122" t="s">
        <v>102</v>
      </c>
      <c r="AH335" s="122" t="s">
        <v>416</v>
      </c>
      <c r="AI335" s="122">
        <v>2023</v>
      </c>
      <c r="AJ335" s="122" t="str">
        <f t="shared" ref="AJ335" si="356">A66</f>
        <v>Sea</v>
      </c>
      <c r="AK335" s="122" t="str">
        <f t="shared" si="353"/>
        <v>Neo bulk</v>
      </c>
      <c r="AL335" s="122" t="str">
        <f t="shared" si="354"/>
        <v>Ammonia</v>
      </c>
      <c r="AM335" s="132">
        <f t="shared" ref="AM335" si="357">I66</f>
        <v>1</v>
      </c>
    </row>
    <row r="336" spans="33:39" x14ac:dyDescent="0.35">
      <c r="AG336" s="122" t="s">
        <v>102</v>
      </c>
      <c r="AH336" s="122" t="s">
        <v>416</v>
      </c>
      <c r="AI336" s="122">
        <v>2023</v>
      </c>
      <c r="AJ336" s="122" t="str">
        <f>A67</f>
        <v>Sea</v>
      </c>
      <c r="AK336" s="122" t="str">
        <f t="shared" si="353"/>
        <v>Neo bulk</v>
      </c>
      <c r="AL336" s="122" t="str">
        <f t="shared" si="354"/>
        <v>Methanol</v>
      </c>
      <c r="AM336" s="132">
        <f>I67</f>
        <v>1</v>
      </c>
    </row>
    <row r="337" spans="33:39" x14ac:dyDescent="0.35">
      <c r="AG337" s="122" t="s">
        <v>419</v>
      </c>
      <c r="AH337" s="122" t="s">
        <v>417</v>
      </c>
      <c r="AI337" s="122">
        <v>2023</v>
      </c>
      <c r="AJ337" s="122" t="str">
        <f>A48</f>
        <v>Sea</v>
      </c>
      <c r="AK337" s="122" t="str">
        <f t="shared" ref="AK337:AL337" si="358">B48</f>
        <v>Dry bulk</v>
      </c>
      <c r="AL337" s="122" t="str">
        <f t="shared" si="358"/>
        <v>HFO</v>
      </c>
      <c r="AM337" s="132">
        <f>J48</f>
        <v>0.9540144524332751</v>
      </c>
    </row>
    <row r="338" spans="33:39" x14ac:dyDescent="0.35">
      <c r="AG338" s="122" t="s">
        <v>419</v>
      </c>
      <c r="AH338" s="122" t="s">
        <v>417</v>
      </c>
      <c r="AI338" s="122">
        <v>2023</v>
      </c>
      <c r="AJ338" s="122" t="str">
        <f t="shared" ref="AJ338:AJ349" si="359">A49</f>
        <v>Sea</v>
      </c>
      <c r="AK338" s="122" t="str">
        <f t="shared" ref="AK338:AK350" si="360">B49</f>
        <v>Dry bulk</v>
      </c>
      <c r="AL338" s="122" t="str">
        <f t="shared" ref="AL338:AL350" si="361">C49</f>
        <v>MGO</v>
      </c>
      <c r="AM338" s="132">
        <f t="shared" ref="AM338:AM349" si="362">J49</f>
        <v>0.93318422593657946</v>
      </c>
    </row>
    <row r="339" spans="33:39" x14ac:dyDescent="0.35">
      <c r="AG339" s="122" t="s">
        <v>102</v>
      </c>
      <c r="AH339" s="122" t="s">
        <v>417</v>
      </c>
      <c r="AI339" s="122">
        <v>2023</v>
      </c>
      <c r="AJ339" s="122" t="str">
        <f t="shared" si="359"/>
        <v>Sea</v>
      </c>
      <c r="AK339" s="122" t="str">
        <f t="shared" si="360"/>
        <v>Dry bulk</v>
      </c>
      <c r="AL339" s="122" t="str">
        <f t="shared" si="361"/>
        <v>Hydrogen</v>
      </c>
      <c r="AM339" s="132">
        <f t="shared" si="362"/>
        <v>0.96146417529559902</v>
      </c>
    </row>
    <row r="340" spans="33:39" x14ac:dyDescent="0.35">
      <c r="AG340" s="122" t="s">
        <v>102</v>
      </c>
      <c r="AH340" s="122" t="s">
        <v>417</v>
      </c>
      <c r="AI340" s="122">
        <v>2023</v>
      </c>
      <c r="AJ340" s="122" t="str">
        <f t="shared" si="359"/>
        <v>Sea</v>
      </c>
      <c r="AK340" s="122" t="str">
        <f t="shared" si="360"/>
        <v>Dry bulk</v>
      </c>
      <c r="AL340" s="122" t="str">
        <f t="shared" si="361"/>
        <v>Ammonia</v>
      </c>
      <c r="AM340" s="132">
        <f t="shared" si="362"/>
        <v>0.95273613491746512</v>
      </c>
    </row>
    <row r="341" spans="33:39" x14ac:dyDescent="0.35">
      <c r="AG341" s="122" t="s">
        <v>102</v>
      </c>
      <c r="AH341" s="122" t="s">
        <v>417</v>
      </c>
      <c r="AI341" s="122">
        <v>2023</v>
      </c>
      <c r="AJ341" s="122" t="str">
        <f t="shared" si="359"/>
        <v>Sea</v>
      </c>
      <c r="AK341" s="122" t="str">
        <f t="shared" si="360"/>
        <v>Dry bulk</v>
      </c>
      <c r="AL341" s="122" t="str">
        <f t="shared" si="361"/>
        <v>Methanol</v>
      </c>
      <c r="AM341" s="132">
        <f t="shared" si="362"/>
        <v>0.97064367546430808</v>
      </c>
    </row>
    <row r="342" spans="33:39" x14ac:dyDescent="0.35">
      <c r="AG342" s="122" t="s">
        <v>419</v>
      </c>
      <c r="AH342" s="122" t="s">
        <v>417</v>
      </c>
      <c r="AI342" s="122">
        <v>2023</v>
      </c>
      <c r="AJ342" s="122" t="str">
        <f t="shared" si="359"/>
        <v>Sea</v>
      </c>
      <c r="AK342" s="122" t="str">
        <f t="shared" si="360"/>
        <v>Container</v>
      </c>
      <c r="AL342" s="122" t="str">
        <f t="shared" si="361"/>
        <v>HFO</v>
      </c>
      <c r="AM342" s="132">
        <f t="shared" si="362"/>
        <v>0.95739313812106819</v>
      </c>
    </row>
    <row r="343" spans="33:39" x14ac:dyDescent="0.35">
      <c r="AG343" s="122" t="s">
        <v>419</v>
      </c>
      <c r="AH343" s="122" t="s">
        <v>417</v>
      </c>
      <c r="AI343" s="122">
        <v>2023</v>
      </c>
      <c r="AJ343" s="122" t="str">
        <f t="shared" si="359"/>
        <v>Sea</v>
      </c>
      <c r="AK343" s="122" t="str">
        <f t="shared" si="360"/>
        <v>Container</v>
      </c>
      <c r="AL343" s="122" t="str">
        <f t="shared" si="361"/>
        <v>MGO</v>
      </c>
      <c r="AM343" s="132">
        <f t="shared" si="362"/>
        <v>0.93646574423698159</v>
      </c>
    </row>
    <row r="344" spans="33:39" x14ac:dyDescent="0.35">
      <c r="AG344" s="122" t="s">
        <v>102</v>
      </c>
      <c r="AH344" s="122" t="s">
        <v>417</v>
      </c>
      <c r="AI344" s="122">
        <v>2023</v>
      </c>
      <c r="AJ344" s="122" t="str">
        <f t="shared" si="359"/>
        <v>Sea</v>
      </c>
      <c r="AK344" s="122" t="str">
        <f t="shared" si="360"/>
        <v>Container</v>
      </c>
      <c r="AL344" s="122" t="str">
        <f t="shared" si="361"/>
        <v>Hydrogen</v>
      </c>
      <c r="AM344" s="132">
        <f t="shared" si="362"/>
        <v>0.96240955690171293</v>
      </c>
    </row>
    <row r="345" spans="33:39" x14ac:dyDescent="0.35">
      <c r="AG345" s="122" t="s">
        <v>102</v>
      </c>
      <c r="AH345" s="122" t="s">
        <v>417</v>
      </c>
      <c r="AI345" s="122">
        <v>2023</v>
      </c>
      <c r="AJ345" s="122" t="str">
        <f t="shared" si="359"/>
        <v>Sea</v>
      </c>
      <c r="AK345" s="122" t="str">
        <f t="shared" si="360"/>
        <v>Container</v>
      </c>
      <c r="AL345" s="122" t="str">
        <f t="shared" si="361"/>
        <v>Ammonia</v>
      </c>
      <c r="AM345" s="132">
        <f t="shared" si="362"/>
        <v>0.9539923433951204</v>
      </c>
    </row>
    <row r="346" spans="33:39" x14ac:dyDescent="0.35">
      <c r="AG346" s="122" t="s">
        <v>102</v>
      </c>
      <c r="AH346" s="122" t="s">
        <v>417</v>
      </c>
      <c r="AI346" s="122">
        <v>2023</v>
      </c>
      <c r="AJ346" s="122" t="str">
        <f t="shared" si="359"/>
        <v>Sea</v>
      </c>
      <c r="AK346" s="122" t="str">
        <f t="shared" si="360"/>
        <v>Container</v>
      </c>
      <c r="AL346" s="122" t="str">
        <f t="shared" si="361"/>
        <v>Methanol</v>
      </c>
      <c r="AM346" s="132">
        <f t="shared" si="362"/>
        <v>0.97104646495867697</v>
      </c>
    </row>
    <row r="347" spans="33:39" x14ac:dyDescent="0.35">
      <c r="AG347" s="122" t="s">
        <v>419</v>
      </c>
      <c r="AH347" s="122" t="s">
        <v>417</v>
      </c>
      <c r="AI347" s="122">
        <v>2023</v>
      </c>
      <c r="AJ347" s="122" t="str">
        <f t="shared" si="359"/>
        <v>Sea</v>
      </c>
      <c r="AK347" s="122" t="str">
        <f t="shared" si="360"/>
        <v>Break bulk</v>
      </c>
      <c r="AL347" s="122" t="str">
        <f t="shared" si="361"/>
        <v>HFO</v>
      </c>
      <c r="AM347" s="132">
        <f t="shared" si="362"/>
        <v>0.95400153203318749</v>
      </c>
    </row>
    <row r="348" spans="33:39" x14ac:dyDescent="0.35">
      <c r="AG348" s="122" t="s">
        <v>419</v>
      </c>
      <c r="AH348" s="122" t="s">
        <v>417</v>
      </c>
      <c r="AI348" s="122">
        <v>2023</v>
      </c>
      <c r="AJ348" s="122" t="str">
        <f t="shared" si="359"/>
        <v>Sea</v>
      </c>
      <c r="AK348" s="122" t="str">
        <f t="shared" si="360"/>
        <v>Break bulk</v>
      </c>
      <c r="AL348" s="122" t="str">
        <f t="shared" si="361"/>
        <v>MGO</v>
      </c>
      <c r="AM348" s="132">
        <f t="shared" si="362"/>
        <v>0.93317199978713794</v>
      </c>
    </row>
    <row r="349" spans="33:39" x14ac:dyDescent="0.35">
      <c r="AG349" s="122" t="s">
        <v>102</v>
      </c>
      <c r="AH349" s="122" t="s">
        <v>417</v>
      </c>
      <c r="AI349" s="122">
        <v>2023</v>
      </c>
      <c r="AJ349" s="122" t="str">
        <f t="shared" si="359"/>
        <v>Sea</v>
      </c>
      <c r="AK349" s="122" t="str">
        <f t="shared" si="360"/>
        <v>Break bulk</v>
      </c>
      <c r="AL349" s="122" t="str">
        <f t="shared" si="361"/>
        <v>Hydrogen</v>
      </c>
      <c r="AM349" s="132">
        <f t="shared" si="362"/>
        <v>0.96146004754148318</v>
      </c>
    </row>
    <row r="350" spans="33:39" x14ac:dyDescent="0.35">
      <c r="AG350" s="122" t="s">
        <v>102</v>
      </c>
      <c r="AH350" s="122" t="s">
        <v>417</v>
      </c>
      <c r="AI350" s="122">
        <v>2023</v>
      </c>
      <c r="AJ350" s="122" t="str">
        <f>A61</f>
        <v>Sea</v>
      </c>
      <c r="AK350" s="122" t="str">
        <f t="shared" si="360"/>
        <v>Break bulk</v>
      </c>
      <c r="AL350" s="122" t="str">
        <f t="shared" si="361"/>
        <v>Ammonia</v>
      </c>
      <c r="AM350" s="132">
        <f>J61</f>
        <v>0.95273082359263117</v>
      </c>
    </row>
    <row r="351" spans="33:39" x14ac:dyDescent="0.35">
      <c r="AG351" s="122" t="s">
        <v>102</v>
      </c>
      <c r="AH351" s="122" t="s">
        <v>417</v>
      </c>
      <c r="AI351" s="122">
        <v>2023</v>
      </c>
      <c r="AJ351" s="122" t="str">
        <f t="shared" ref="AJ351:AJ356" si="363">A62</f>
        <v>Sea</v>
      </c>
      <c r="AK351" s="122" t="str">
        <f t="shared" ref="AK351:AK356" si="364">B62</f>
        <v>Break bulk</v>
      </c>
      <c r="AL351" s="122" t="str">
        <f t="shared" ref="AL351:AL356" si="365">C62</f>
        <v>Methanol</v>
      </c>
      <c r="AM351" s="132">
        <f t="shared" ref="AM351:AM356" si="366">J62</f>
        <v>0.97064211187339855</v>
      </c>
    </row>
    <row r="352" spans="33:39" x14ac:dyDescent="0.35">
      <c r="AG352" s="122" t="s">
        <v>419</v>
      </c>
      <c r="AH352" s="122" t="s">
        <v>417</v>
      </c>
      <c r="AI352" s="122">
        <v>2023</v>
      </c>
      <c r="AJ352" s="122" t="str">
        <f t="shared" si="363"/>
        <v>Sea</v>
      </c>
      <c r="AK352" s="122" t="str">
        <f t="shared" si="364"/>
        <v>Neo bulk</v>
      </c>
      <c r="AL352" s="122" t="str">
        <f t="shared" si="365"/>
        <v>HFO</v>
      </c>
      <c r="AM352" s="132">
        <f t="shared" si="366"/>
        <v>0.95397930577775814</v>
      </c>
    </row>
    <row r="353" spans="33:39" x14ac:dyDescent="0.35">
      <c r="AG353" s="122" t="s">
        <v>419</v>
      </c>
      <c r="AH353" s="122" t="s">
        <v>417</v>
      </c>
      <c r="AI353" s="122">
        <v>2023</v>
      </c>
      <c r="AJ353" s="122" t="str">
        <f t="shared" si="363"/>
        <v>Sea</v>
      </c>
      <c r="AK353" s="122" t="str">
        <f t="shared" si="364"/>
        <v>Neo bulk</v>
      </c>
      <c r="AL353" s="122" t="str">
        <f t="shared" si="365"/>
        <v>MGO</v>
      </c>
      <c r="AM353" s="132">
        <f t="shared" si="366"/>
        <v>0.93315097341633613</v>
      </c>
    </row>
    <row r="354" spans="33:39" x14ac:dyDescent="0.35">
      <c r="AG354" s="122" t="s">
        <v>102</v>
      </c>
      <c r="AH354" s="122" t="s">
        <v>417</v>
      </c>
      <c r="AI354" s="122">
        <v>2023</v>
      </c>
      <c r="AJ354" s="122" t="str">
        <f t="shared" si="363"/>
        <v>Sea</v>
      </c>
      <c r="AK354" s="122" t="str">
        <f t="shared" si="364"/>
        <v>Neo bulk</v>
      </c>
      <c r="AL354" s="122" t="str">
        <f t="shared" si="365"/>
        <v>Hydrogen</v>
      </c>
      <c r="AM354" s="132">
        <f t="shared" si="366"/>
        <v>0.96145488307403493</v>
      </c>
    </row>
    <row r="355" spans="33:39" x14ac:dyDescent="0.35">
      <c r="AG355" s="122" t="s">
        <v>102</v>
      </c>
      <c r="AH355" s="122" t="s">
        <v>417</v>
      </c>
      <c r="AI355" s="122">
        <v>2023</v>
      </c>
      <c r="AJ355" s="122" t="str">
        <f t="shared" si="363"/>
        <v>Sea</v>
      </c>
      <c r="AK355" s="122" t="str">
        <f t="shared" si="364"/>
        <v>Neo bulk</v>
      </c>
      <c r="AL355" s="122" t="str">
        <f t="shared" si="365"/>
        <v>Ammonia</v>
      </c>
      <c r="AM355" s="132">
        <f t="shared" si="366"/>
        <v>0.95272374928097547</v>
      </c>
    </row>
    <row r="356" spans="33:39" x14ac:dyDescent="0.35">
      <c r="AG356" s="122" t="s">
        <v>102</v>
      </c>
      <c r="AH356" s="122" t="s">
        <v>417</v>
      </c>
      <c r="AI356" s="122">
        <v>2023</v>
      </c>
      <c r="AJ356" s="122" t="str">
        <f t="shared" si="363"/>
        <v>Sea</v>
      </c>
      <c r="AK356" s="122" t="str">
        <f t="shared" si="364"/>
        <v>Neo bulk</v>
      </c>
      <c r="AL356" s="122" t="str">
        <f t="shared" si="365"/>
        <v>Methanol</v>
      </c>
      <c r="AM356" s="132">
        <f t="shared" si="366"/>
        <v>0.97063974897970484</v>
      </c>
    </row>
    <row r="357" spans="33:39" x14ac:dyDescent="0.35">
      <c r="AG357" s="122" t="s">
        <v>419</v>
      </c>
      <c r="AH357" s="122" t="s">
        <v>418</v>
      </c>
      <c r="AI357" s="122">
        <v>2023</v>
      </c>
      <c r="AJ357" s="122" t="str">
        <f>A48</f>
        <v>Sea</v>
      </c>
      <c r="AK357" s="122" t="str">
        <f t="shared" ref="AK357:AL357" si="367">B48</f>
        <v>Dry bulk</v>
      </c>
      <c r="AL357" s="122" t="str">
        <f t="shared" si="367"/>
        <v>HFO</v>
      </c>
      <c r="AM357" s="132">
        <f>K48</f>
        <v>1.0158075319760618</v>
      </c>
    </row>
    <row r="358" spans="33:39" x14ac:dyDescent="0.35">
      <c r="AG358" s="122" t="s">
        <v>419</v>
      </c>
      <c r="AH358" s="122" t="s">
        <v>418</v>
      </c>
      <c r="AI358" s="122">
        <v>2023</v>
      </c>
      <c r="AJ358" s="122" t="str">
        <f t="shared" ref="AJ358:AJ376" si="368">A49</f>
        <v>Sea</v>
      </c>
      <c r="AK358" s="122" t="str">
        <f t="shared" ref="AK358:AK376" si="369">B49</f>
        <v>Dry bulk</v>
      </c>
      <c r="AL358" s="122" t="str">
        <f t="shared" ref="AL358:AL376" si="370">C49</f>
        <v>MGO</v>
      </c>
      <c r="AM358" s="132">
        <f t="shared" ref="AM358:AM376" si="371">K49</f>
        <v>1.0229679223343009</v>
      </c>
    </row>
    <row r="359" spans="33:39" x14ac:dyDescent="0.35">
      <c r="AG359" s="122" t="s">
        <v>102</v>
      </c>
      <c r="AH359" s="122" t="s">
        <v>418</v>
      </c>
      <c r="AI359" s="122">
        <v>2023</v>
      </c>
      <c r="AJ359" s="122" t="str">
        <f t="shared" si="368"/>
        <v>Sea</v>
      </c>
      <c r="AK359" s="122" t="str">
        <f t="shared" si="369"/>
        <v>Dry bulk</v>
      </c>
      <c r="AL359" s="122" t="str">
        <f t="shared" si="370"/>
        <v>Hydrogen</v>
      </c>
      <c r="AM359" s="132">
        <f t="shared" si="371"/>
        <v>1.0879864205678518</v>
      </c>
    </row>
    <row r="360" spans="33:39" x14ac:dyDescent="0.35">
      <c r="AG360" s="122" t="s">
        <v>102</v>
      </c>
      <c r="AH360" s="122" t="s">
        <v>418</v>
      </c>
      <c r="AI360" s="122">
        <v>2023</v>
      </c>
      <c r="AJ360" s="122" t="str">
        <f t="shared" si="368"/>
        <v>Sea</v>
      </c>
      <c r="AK360" s="122" t="str">
        <f t="shared" si="369"/>
        <v>Dry bulk</v>
      </c>
      <c r="AL360" s="122" t="str">
        <f t="shared" si="370"/>
        <v>Ammonia</v>
      </c>
      <c r="AM360" s="132">
        <f t="shared" si="371"/>
        <v>1.1079146052462492</v>
      </c>
    </row>
    <row r="361" spans="33:39" x14ac:dyDescent="0.35">
      <c r="AG361" s="122" t="s">
        <v>102</v>
      </c>
      <c r="AH361" s="122" t="s">
        <v>418</v>
      </c>
      <c r="AI361" s="122">
        <v>2023</v>
      </c>
      <c r="AJ361" s="122" t="str">
        <f t="shared" si="368"/>
        <v>Sea</v>
      </c>
      <c r="AK361" s="122" t="str">
        <f t="shared" si="369"/>
        <v>Dry bulk</v>
      </c>
      <c r="AL361" s="122" t="str">
        <f t="shared" si="370"/>
        <v>Methanol</v>
      </c>
      <c r="AM361" s="132">
        <f t="shared" si="371"/>
        <v>1.0670274461942104</v>
      </c>
    </row>
    <row r="362" spans="33:39" x14ac:dyDescent="0.35">
      <c r="AG362" s="122" t="s">
        <v>419</v>
      </c>
      <c r="AH362" s="122" t="s">
        <v>418</v>
      </c>
      <c r="AI362" s="122">
        <v>2023</v>
      </c>
      <c r="AJ362" s="122" t="str">
        <f t="shared" si="368"/>
        <v>Sea</v>
      </c>
      <c r="AK362" s="122" t="str">
        <f t="shared" si="369"/>
        <v>Container</v>
      </c>
      <c r="AL362" s="122" t="str">
        <f t="shared" si="370"/>
        <v>HFO</v>
      </c>
      <c r="AM362" s="132">
        <f t="shared" si="371"/>
        <v>1.0146461087708827</v>
      </c>
    </row>
    <row r="363" spans="33:39" x14ac:dyDescent="0.35">
      <c r="AG363" s="122" t="s">
        <v>419</v>
      </c>
      <c r="AH363" s="122" t="s">
        <v>418</v>
      </c>
      <c r="AI363" s="122">
        <v>2023</v>
      </c>
      <c r="AJ363" s="122" t="str">
        <f t="shared" si="368"/>
        <v>Sea</v>
      </c>
      <c r="AK363" s="122" t="str">
        <f t="shared" si="369"/>
        <v>Container</v>
      </c>
      <c r="AL363" s="122" t="str">
        <f t="shared" si="370"/>
        <v>MGO</v>
      </c>
      <c r="AM363" s="132">
        <f t="shared" si="371"/>
        <v>1.0218399004185375</v>
      </c>
    </row>
    <row r="364" spans="33:39" x14ac:dyDescent="0.35">
      <c r="AG364" s="122" t="s">
        <v>102</v>
      </c>
      <c r="AH364" s="122" t="s">
        <v>418</v>
      </c>
      <c r="AI364" s="122">
        <v>2023</v>
      </c>
      <c r="AJ364" s="122" t="str">
        <f t="shared" si="368"/>
        <v>Sea</v>
      </c>
      <c r="AK364" s="122" t="str">
        <f t="shared" si="369"/>
        <v>Container</v>
      </c>
      <c r="AL364" s="122" t="str">
        <f t="shared" si="370"/>
        <v>Hydrogen</v>
      </c>
      <c r="AM364" s="132">
        <f t="shared" si="371"/>
        <v>1.0858278903111178</v>
      </c>
    </row>
    <row r="365" spans="33:39" x14ac:dyDescent="0.35">
      <c r="AG365" s="122" t="s">
        <v>102</v>
      </c>
      <c r="AH365" s="122" t="s">
        <v>418</v>
      </c>
      <c r="AI365" s="122">
        <v>2023</v>
      </c>
      <c r="AJ365" s="122" t="str">
        <f t="shared" si="368"/>
        <v>Sea</v>
      </c>
      <c r="AK365" s="122" t="str">
        <f t="shared" si="369"/>
        <v>Container</v>
      </c>
      <c r="AL365" s="122" t="str">
        <f t="shared" si="370"/>
        <v>Ammonia</v>
      </c>
      <c r="AM365" s="132">
        <f t="shared" si="371"/>
        <v>1.1050463835776145</v>
      </c>
    </row>
    <row r="366" spans="33:39" x14ac:dyDescent="0.35">
      <c r="AG366" s="122" t="s">
        <v>102</v>
      </c>
      <c r="AH366" s="122" t="s">
        <v>418</v>
      </c>
      <c r="AI366" s="122">
        <v>2023</v>
      </c>
      <c r="AJ366" s="122" t="str">
        <f t="shared" si="368"/>
        <v>Sea</v>
      </c>
      <c r="AK366" s="122" t="str">
        <f t="shared" si="369"/>
        <v>Container</v>
      </c>
      <c r="AL366" s="122" t="str">
        <f t="shared" si="370"/>
        <v>Methanol</v>
      </c>
      <c r="AM366" s="132">
        <f t="shared" si="371"/>
        <v>1.0661077823197846</v>
      </c>
    </row>
    <row r="367" spans="33:39" x14ac:dyDescent="0.35">
      <c r="AG367" s="122" t="s">
        <v>419</v>
      </c>
      <c r="AH367" s="122" t="s">
        <v>418</v>
      </c>
      <c r="AI367" s="122">
        <v>2023</v>
      </c>
      <c r="AJ367" s="122" t="str">
        <f t="shared" si="368"/>
        <v>Sea</v>
      </c>
      <c r="AK367" s="122" t="str">
        <f t="shared" si="369"/>
        <v>Break bulk</v>
      </c>
      <c r="AL367" s="122" t="str">
        <f t="shared" si="370"/>
        <v>HFO</v>
      </c>
      <c r="AM367" s="132">
        <f t="shared" si="371"/>
        <v>1.0158119733635917</v>
      </c>
    </row>
    <row r="368" spans="33:39" x14ac:dyDescent="0.35">
      <c r="AG368" s="122" t="s">
        <v>419</v>
      </c>
      <c r="AH368" s="122" t="s">
        <v>418</v>
      </c>
      <c r="AI368" s="122">
        <v>2023</v>
      </c>
      <c r="AJ368" s="122" t="str">
        <f t="shared" si="368"/>
        <v>Sea</v>
      </c>
      <c r="AK368" s="122" t="str">
        <f t="shared" si="369"/>
        <v>Break bulk</v>
      </c>
      <c r="AL368" s="122" t="str">
        <f t="shared" si="370"/>
        <v>MGO</v>
      </c>
      <c r="AM368" s="132">
        <f t="shared" si="371"/>
        <v>1.0229721250731711</v>
      </c>
    </row>
    <row r="369" spans="33:39" x14ac:dyDescent="0.35">
      <c r="AG369" s="122" t="s">
        <v>102</v>
      </c>
      <c r="AH369" s="122" t="s">
        <v>418</v>
      </c>
      <c r="AI369" s="122">
        <v>2023</v>
      </c>
      <c r="AJ369" s="122" t="str">
        <f t="shared" si="368"/>
        <v>Sea</v>
      </c>
      <c r="AK369" s="122" t="str">
        <f t="shared" si="369"/>
        <v>Break bulk</v>
      </c>
      <c r="AL369" s="122" t="str">
        <f t="shared" si="370"/>
        <v>Hydrogen</v>
      </c>
      <c r="AM369" s="132">
        <f t="shared" si="371"/>
        <v>1.0879958452087526</v>
      </c>
    </row>
    <row r="370" spans="33:39" x14ac:dyDescent="0.35">
      <c r="AG370" s="122" t="s">
        <v>102</v>
      </c>
      <c r="AH370" s="122" t="s">
        <v>418</v>
      </c>
      <c r="AI370" s="122">
        <v>2023</v>
      </c>
      <c r="AJ370" s="122" t="str">
        <f t="shared" si="368"/>
        <v>Sea</v>
      </c>
      <c r="AK370" s="122" t="str">
        <f t="shared" si="369"/>
        <v>Break bulk</v>
      </c>
      <c r="AL370" s="122" t="str">
        <f t="shared" si="370"/>
        <v>Ammonia</v>
      </c>
      <c r="AM370" s="132">
        <f t="shared" si="371"/>
        <v>1.1079267322595985</v>
      </c>
    </row>
    <row r="371" spans="33:39" x14ac:dyDescent="0.35">
      <c r="AG371" s="122" t="s">
        <v>102</v>
      </c>
      <c r="AH371" s="122" t="s">
        <v>418</v>
      </c>
      <c r="AI371" s="122">
        <v>2023</v>
      </c>
      <c r="AJ371" s="122" t="str">
        <f t="shared" si="368"/>
        <v>Sea</v>
      </c>
      <c r="AK371" s="122" t="str">
        <f t="shared" si="369"/>
        <v>Break bulk</v>
      </c>
      <c r="AL371" s="122" t="str">
        <f t="shared" si="370"/>
        <v>Methanol</v>
      </c>
      <c r="AM371" s="132">
        <f t="shared" si="371"/>
        <v>1.0670310162428187</v>
      </c>
    </row>
    <row r="372" spans="33:39" x14ac:dyDescent="0.35">
      <c r="AG372" s="122" t="s">
        <v>419</v>
      </c>
      <c r="AH372" s="122" t="s">
        <v>418</v>
      </c>
      <c r="AI372" s="122">
        <v>2023</v>
      </c>
      <c r="AJ372" s="122" t="str">
        <f t="shared" si="368"/>
        <v>Sea</v>
      </c>
      <c r="AK372" s="122" t="str">
        <f t="shared" si="369"/>
        <v>Neo bulk</v>
      </c>
      <c r="AL372" s="122" t="str">
        <f t="shared" si="370"/>
        <v>HFO</v>
      </c>
      <c r="AM372" s="132">
        <f t="shared" si="371"/>
        <v>1.0158196136388957</v>
      </c>
    </row>
    <row r="373" spans="33:39" x14ac:dyDescent="0.35">
      <c r="AG373" s="122" t="s">
        <v>419</v>
      </c>
      <c r="AH373" s="122" t="s">
        <v>418</v>
      </c>
      <c r="AI373" s="122">
        <v>2023</v>
      </c>
      <c r="AJ373" s="122" t="str">
        <f t="shared" si="368"/>
        <v>Sea</v>
      </c>
      <c r="AK373" s="122" t="str">
        <f t="shared" si="369"/>
        <v>Neo bulk</v>
      </c>
      <c r="AL373" s="122" t="str">
        <f t="shared" si="370"/>
        <v>MGO</v>
      </c>
      <c r="AM373" s="132">
        <f t="shared" si="371"/>
        <v>1.0229793528881344</v>
      </c>
    </row>
    <row r="374" spans="33:39" x14ac:dyDescent="0.35">
      <c r="AG374" s="122" t="s">
        <v>102</v>
      </c>
      <c r="AH374" s="122" t="s">
        <v>418</v>
      </c>
      <c r="AI374" s="122">
        <v>2023</v>
      </c>
      <c r="AJ374" s="122" t="str">
        <f t="shared" si="368"/>
        <v>Sea</v>
      </c>
      <c r="AK374" s="122" t="str">
        <f t="shared" si="369"/>
        <v>Neo bulk</v>
      </c>
      <c r="AL374" s="122" t="str">
        <f t="shared" si="370"/>
        <v>Hydrogen</v>
      </c>
      <c r="AM374" s="132">
        <f t="shared" si="371"/>
        <v>1.0880076369118854</v>
      </c>
    </row>
    <row r="375" spans="33:39" x14ac:dyDescent="0.35">
      <c r="AG375" s="122" t="s">
        <v>102</v>
      </c>
      <c r="AH375" s="122" t="s">
        <v>418</v>
      </c>
      <c r="AI375" s="122">
        <v>2023</v>
      </c>
      <c r="AJ375" s="122" t="str">
        <f t="shared" si="368"/>
        <v>Sea</v>
      </c>
      <c r="AK375" s="122" t="str">
        <f t="shared" si="369"/>
        <v>Neo bulk</v>
      </c>
      <c r="AL375" s="122" t="str">
        <f t="shared" si="370"/>
        <v>Ammonia</v>
      </c>
      <c r="AM375" s="132">
        <f t="shared" si="371"/>
        <v>1.107942884589679</v>
      </c>
    </row>
    <row r="376" spans="33:39" x14ac:dyDescent="0.35">
      <c r="AG376" s="122" t="s">
        <v>102</v>
      </c>
      <c r="AH376" s="122" t="s">
        <v>418</v>
      </c>
      <c r="AI376" s="122">
        <v>2023</v>
      </c>
      <c r="AJ376" s="122" t="str">
        <f t="shared" si="368"/>
        <v>Sea</v>
      </c>
      <c r="AK376" s="122" t="str">
        <f t="shared" si="369"/>
        <v>Neo bulk</v>
      </c>
      <c r="AL376" s="122" t="str">
        <f t="shared" si="370"/>
        <v>Methanol</v>
      </c>
      <c r="AM376" s="132">
        <f t="shared" si="371"/>
        <v>1.067036411289114</v>
      </c>
    </row>
    <row r="377" spans="33:39" x14ac:dyDescent="0.35">
      <c r="AG377" s="122" t="s">
        <v>419</v>
      </c>
      <c r="AH377" s="122" t="s">
        <v>416</v>
      </c>
      <c r="AI377" s="122">
        <v>2034</v>
      </c>
      <c r="AJ377" s="122" t="str">
        <f>A48</f>
        <v>Sea</v>
      </c>
      <c r="AK377" s="122" t="str">
        <f t="shared" ref="AK377:AL377" si="372">B48</f>
        <v>Dry bulk</v>
      </c>
      <c r="AL377" s="122" t="str">
        <f t="shared" si="372"/>
        <v>HFO</v>
      </c>
      <c r="AM377" s="132">
        <f>S48</f>
        <v>1</v>
      </c>
    </row>
    <row r="378" spans="33:39" x14ac:dyDescent="0.35">
      <c r="AG378" s="122" t="s">
        <v>419</v>
      </c>
      <c r="AH378" s="122" t="s">
        <v>416</v>
      </c>
      <c r="AI378" s="122">
        <v>2034</v>
      </c>
      <c r="AJ378" s="122" t="str">
        <f t="shared" ref="AJ378:AJ396" si="373">A49</f>
        <v>Sea</v>
      </c>
      <c r="AK378" s="122" t="str">
        <f t="shared" ref="AK378:AK396" si="374">B49</f>
        <v>Dry bulk</v>
      </c>
      <c r="AL378" s="122" t="str">
        <f t="shared" ref="AL378:AL396" si="375">C49</f>
        <v>MGO</v>
      </c>
      <c r="AM378" s="132">
        <f t="shared" ref="AM378:AM396" si="376">S49</f>
        <v>1</v>
      </c>
    </row>
    <row r="379" spans="33:39" x14ac:dyDescent="0.35">
      <c r="AG379" s="122" t="s">
        <v>102</v>
      </c>
      <c r="AH379" s="122" t="s">
        <v>416</v>
      </c>
      <c r="AI379" s="122">
        <v>2034</v>
      </c>
      <c r="AJ379" s="122" t="str">
        <f t="shared" si="373"/>
        <v>Sea</v>
      </c>
      <c r="AK379" s="122" t="str">
        <f t="shared" si="374"/>
        <v>Dry bulk</v>
      </c>
      <c r="AL379" s="122" t="str">
        <f t="shared" si="375"/>
        <v>Hydrogen</v>
      </c>
      <c r="AM379" s="132">
        <f t="shared" si="376"/>
        <v>1</v>
      </c>
    </row>
    <row r="380" spans="33:39" x14ac:dyDescent="0.35">
      <c r="AG380" s="122" t="s">
        <v>102</v>
      </c>
      <c r="AH380" s="122" t="s">
        <v>416</v>
      </c>
      <c r="AI380" s="122">
        <v>2034</v>
      </c>
      <c r="AJ380" s="122" t="str">
        <f t="shared" si="373"/>
        <v>Sea</v>
      </c>
      <c r="AK380" s="122" t="str">
        <f t="shared" si="374"/>
        <v>Dry bulk</v>
      </c>
      <c r="AL380" s="122" t="str">
        <f t="shared" si="375"/>
        <v>Ammonia</v>
      </c>
      <c r="AM380" s="132">
        <f t="shared" si="376"/>
        <v>1</v>
      </c>
    </row>
    <row r="381" spans="33:39" x14ac:dyDescent="0.35">
      <c r="AG381" s="122" t="s">
        <v>102</v>
      </c>
      <c r="AH381" s="122" t="s">
        <v>416</v>
      </c>
      <c r="AI381" s="122">
        <v>2034</v>
      </c>
      <c r="AJ381" s="122" t="str">
        <f t="shared" si="373"/>
        <v>Sea</v>
      </c>
      <c r="AK381" s="122" t="str">
        <f t="shared" si="374"/>
        <v>Dry bulk</v>
      </c>
      <c r="AL381" s="122" t="str">
        <f t="shared" si="375"/>
        <v>Methanol</v>
      </c>
      <c r="AM381" s="132">
        <f t="shared" si="376"/>
        <v>1</v>
      </c>
    </row>
    <row r="382" spans="33:39" x14ac:dyDescent="0.35">
      <c r="AG382" s="122" t="s">
        <v>419</v>
      </c>
      <c r="AH382" s="122" t="s">
        <v>416</v>
      </c>
      <c r="AI382" s="122">
        <v>2034</v>
      </c>
      <c r="AJ382" s="122" t="str">
        <f t="shared" si="373"/>
        <v>Sea</v>
      </c>
      <c r="AK382" s="122" t="str">
        <f t="shared" si="374"/>
        <v>Container</v>
      </c>
      <c r="AL382" s="122" t="str">
        <f t="shared" si="375"/>
        <v>HFO</v>
      </c>
      <c r="AM382" s="132">
        <f t="shared" si="376"/>
        <v>1</v>
      </c>
    </row>
    <row r="383" spans="33:39" x14ac:dyDescent="0.35">
      <c r="AG383" s="122" t="s">
        <v>419</v>
      </c>
      <c r="AH383" s="122" t="s">
        <v>416</v>
      </c>
      <c r="AI383" s="122">
        <v>2034</v>
      </c>
      <c r="AJ383" s="122" t="str">
        <f t="shared" si="373"/>
        <v>Sea</v>
      </c>
      <c r="AK383" s="122" t="str">
        <f t="shared" si="374"/>
        <v>Container</v>
      </c>
      <c r="AL383" s="122" t="str">
        <f t="shared" si="375"/>
        <v>MGO</v>
      </c>
      <c r="AM383" s="132">
        <f t="shared" si="376"/>
        <v>1</v>
      </c>
    </row>
    <row r="384" spans="33:39" x14ac:dyDescent="0.35">
      <c r="AG384" s="122" t="s">
        <v>102</v>
      </c>
      <c r="AH384" s="122" t="s">
        <v>416</v>
      </c>
      <c r="AI384" s="122">
        <v>2034</v>
      </c>
      <c r="AJ384" s="122" t="str">
        <f t="shared" si="373"/>
        <v>Sea</v>
      </c>
      <c r="AK384" s="122" t="str">
        <f t="shared" si="374"/>
        <v>Container</v>
      </c>
      <c r="AL384" s="122" t="str">
        <f t="shared" si="375"/>
        <v>Hydrogen</v>
      </c>
      <c r="AM384" s="132">
        <f t="shared" si="376"/>
        <v>1</v>
      </c>
    </row>
    <row r="385" spans="33:39" x14ac:dyDescent="0.35">
      <c r="AG385" s="122" t="s">
        <v>102</v>
      </c>
      <c r="AH385" s="122" t="s">
        <v>416</v>
      </c>
      <c r="AI385" s="122">
        <v>2034</v>
      </c>
      <c r="AJ385" s="122" t="str">
        <f t="shared" si="373"/>
        <v>Sea</v>
      </c>
      <c r="AK385" s="122" t="str">
        <f t="shared" si="374"/>
        <v>Container</v>
      </c>
      <c r="AL385" s="122" t="str">
        <f t="shared" si="375"/>
        <v>Ammonia</v>
      </c>
      <c r="AM385" s="132">
        <f t="shared" si="376"/>
        <v>1</v>
      </c>
    </row>
    <row r="386" spans="33:39" x14ac:dyDescent="0.35">
      <c r="AG386" s="122" t="s">
        <v>102</v>
      </c>
      <c r="AH386" s="122" t="s">
        <v>416</v>
      </c>
      <c r="AI386" s="122">
        <v>2034</v>
      </c>
      <c r="AJ386" s="122" t="str">
        <f t="shared" si="373"/>
        <v>Sea</v>
      </c>
      <c r="AK386" s="122" t="str">
        <f t="shared" si="374"/>
        <v>Container</v>
      </c>
      <c r="AL386" s="122" t="str">
        <f t="shared" si="375"/>
        <v>Methanol</v>
      </c>
      <c r="AM386" s="132">
        <f t="shared" si="376"/>
        <v>1</v>
      </c>
    </row>
    <row r="387" spans="33:39" x14ac:dyDescent="0.35">
      <c r="AG387" s="122" t="s">
        <v>419</v>
      </c>
      <c r="AH387" s="122" t="s">
        <v>416</v>
      </c>
      <c r="AI387" s="122">
        <v>2034</v>
      </c>
      <c r="AJ387" s="122" t="str">
        <f t="shared" si="373"/>
        <v>Sea</v>
      </c>
      <c r="AK387" s="122" t="str">
        <f t="shared" si="374"/>
        <v>Break bulk</v>
      </c>
      <c r="AL387" s="122" t="str">
        <f t="shared" si="375"/>
        <v>HFO</v>
      </c>
      <c r="AM387" s="132">
        <f t="shared" si="376"/>
        <v>1</v>
      </c>
    </row>
    <row r="388" spans="33:39" x14ac:dyDescent="0.35">
      <c r="AG388" s="122" t="s">
        <v>419</v>
      </c>
      <c r="AH388" s="122" t="s">
        <v>416</v>
      </c>
      <c r="AI388" s="122">
        <v>2034</v>
      </c>
      <c r="AJ388" s="122" t="str">
        <f t="shared" si="373"/>
        <v>Sea</v>
      </c>
      <c r="AK388" s="122" t="str">
        <f t="shared" si="374"/>
        <v>Break bulk</v>
      </c>
      <c r="AL388" s="122" t="str">
        <f t="shared" si="375"/>
        <v>MGO</v>
      </c>
      <c r="AM388" s="132">
        <f t="shared" si="376"/>
        <v>1</v>
      </c>
    </row>
    <row r="389" spans="33:39" x14ac:dyDescent="0.35">
      <c r="AG389" s="122" t="s">
        <v>102</v>
      </c>
      <c r="AH389" s="122" t="s">
        <v>416</v>
      </c>
      <c r="AI389" s="122">
        <v>2034</v>
      </c>
      <c r="AJ389" s="122" t="str">
        <f t="shared" si="373"/>
        <v>Sea</v>
      </c>
      <c r="AK389" s="122" t="str">
        <f t="shared" si="374"/>
        <v>Break bulk</v>
      </c>
      <c r="AL389" s="122" t="str">
        <f t="shared" si="375"/>
        <v>Hydrogen</v>
      </c>
      <c r="AM389" s="132">
        <f t="shared" si="376"/>
        <v>1</v>
      </c>
    </row>
    <row r="390" spans="33:39" x14ac:dyDescent="0.35">
      <c r="AG390" s="122" t="s">
        <v>102</v>
      </c>
      <c r="AH390" s="122" t="s">
        <v>416</v>
      </c>
      <c r="AI390" s="122">
        <v>2034</v>
      </c>
      <c r="AJ390" s="122" t="str">
        <f t="shared" si="373"/>
        <v>Sea</v>
      </c>
      <c r="AK390" s="122" t="str">
        <f t="shared" si="374"/>
        <v>Break bulk</v>
      </c>
      <c r="AL390" s="122" t="str">
        <f t="shared" si="375"/>
        <v>Ammonia</v>
      </c>
      <c r="AM390" s="132">
        <f t="shared" si="376"/>
        <v>1</v>
      </c>
    </row>
    <row r="391" spans="33:39" x14ac:dyDescent="0.35">
      <c r="AG391" s="122" t="s">
        <v>102</v>
      </c>
      <c r="AH391" s="122" t="s">
        <v>416</v>
      </c>
      <c r="AI391" s="122">
        <v>2034</v>
      </c>
      <c r="AJ391" s="122" t="str">
        <f t="shared" si="373"/>
        <v>Sea</v>
      </c>
      <c r="AK391" s="122" t="str">
        <f t="shared" si="374"/>
        <v>Break bulk</v>
      </c>
      <c r="AL391" s="122" t="str">
        <f t="shared" si="375"/>
        <v>Methanol</v>
      </c>
      <c r="AM391" s="132">
        <f t="shared" si="376"/>
        <v>1</v>
      </c>
    </row>
    <row r="392" spans="33:39" x14ac:dyDescent="0.35">
      <c r="AG392" s="122" t="s">
        <v>419</v>
      </c>
      <c r="AH392" s="122" t="s">
        <v>416</v>
      </c>
      <c r="AI392" s="122">
        <v>2034</v>
      </c>
      <c r="AJ392" s="122" t="str">
        <f t="shared" si="373"/>
        <v>Sea</v>
      </c>
      <c r="AK392" s="122" t="str">
        <f t="shared" si="374"/>
        <v>Neo bulk</v>
      </c>
      <c r="AL392" s="122" t="str">
        <f t="shared" si="375"/>
        <v>HFO</v>
      </c>
      <c r="AM392" s="132">
        <f t="shared" si="376"/>
        <v>1</v>
      </c>
    </row>
    <row r="393" spans="33:39" x14ac:dyDescent="0.35">
      <c r="AG393" s="122" t="s">
        <v>419</v>
      </c>
      <c r="AH393" s="122" t="s">
        <v>416</v>
      </c>
      <c r="AI393" s="122">
        <v>2034</v>
      </c>
      <c r="AJ393" s="122" t="str">
        <f t="shared" si="373"/>
        <v>Sea</v>
      </c>
      <c r="AK393" s="122" t="str">
        <f t="shared" si="374"/>
        <v>Neo bulk</v>
      </c>
      <c r="AL393" s="122" t="str">
        <f t="shared" si="375"/>
        <v>MGO</v>
      </c>
      <c r="AM393" s="132">
        <f t="shared" si="376"/>
        <v>1</v>
      </c>
    </row>
    <row r="394" spans="33:39" x14ac:dyDescent="0.35">
      <c r="AG394" s="122" t="s">
        <v>102</v>
      </c>
      <c r="AH394" s="122" t="s">
        <v>416</v>
      </c>
      <c r="AI394" s="122">
        <v>2034</v>
      </c>
      <c r="AJ394" s="122" t="str">
        <f t="shared" si="373"/>
        <v>Sea</v>
      </c>
      <c r="AK394" s="122" t="str">
        <f t="shared" si="374"/>
        <v>Neo bulk</v>
      </c>
      <c r="AL394" s="122" t="str">
        <f t="shared" si="375"/>
        <v>Hydrogen</v>
      </c>
      <c r="AM394" s="132">
        <f t="shared" si="376"/>
        <v>1</v>
      </c>
    </row>
    <row r="395" spans="33:39" x14ac:dyDescent="0.35">
      <c r="AG395" s="122" t="s">
        <v>102</v>
      </c>
      <c r="AH395" s="122" t="s">
        <v>416</v>
      </c>
      <c r="AI395" s="122">
        <v>2034</v>
      </c>
      <c r="AJ395" s="122" t="str">
        <f t="shared" si="373"/>
        <v>Sea</v>
      </c>
      <c r="AK395" s="122" t="str">
        <f t="shared" si="374"/>
        <v>Neo bulk</v>
      </c>
      <c r="AL395" s="122" t="str">
        <f t="shared" si="375"/>
        <v>Ammonia</v>
      </c>
      <c r="AM395" s="132">
        <f t="shared" si="376"/>
        <v>1</v>
      </c>
    </row>
    <row r="396" spans="33:39" x14ac:dyDescent="0.35">
      <c r="AG396" s="122" t="s">
        <v>102</v>
      </c>
      <c r="AH396" s="122" t="s">
        <v>416</v>
      </c>
      <c r="AI396" s="122">
        <v>2034</v>
      </c>
      <c r="AJ396" s="122" t="str">
        <f t="shared" si="373"/>
        <v>Sea</v>
      </c>
      <c r="AK396" s="122" t="str">
        <f t="shared" si="374"/>
        <v>Neo bulk</v>
      </c>
      <c r="AL396" s="122" t="str">
        <f t="shared" si="375"/>
        <v>Methanol</v>
      </c>
      <c r="AM396" s="132">
        <f t="shared" si="376"/>
        <v>1</v>
      </c>
    </row>
    <row r="397" spans="33:39" x14ac:dyDescent="0.35">
      <c r="AG397" s="122" t="s">
        <v>419</v>
      </c>
      <c r="AH397" s="122" t="s">
        <v>417</v>
      </c>
      <c r="AI397" s="122">
        <v>2034</v>
      </c>
      <c r="AJ397" s="122" t="str">
        <f>A48</f>
        <v>Sea</v>
      </c>
      <c r="AK397" s="122" t="str">
        <f t="shared" ref="AK397:AL397" si="377">B48</f>
        <v>Dry bulk</v>
      </c>
      <c r="AL397" s="122" t="str">
        <f t="shared" si="377"/>
        <v>HFO</v>
      </c>
      <c r="AM397" s="132">
        <f>T48</f>
        <v>0.82870234801877418</v>
      </c>
    </row>
    <row r="398" spans="33:39" x14ac:dyDescent="0.35">
      <c r="AG398" s="122" t="s">
        <v>419</v>
      </c>
      <c r="AH398" s="122" t="s">
        <v>417</v>
      </c>
      <c r="AI398" s="122">
        <v>2034</v>
      </c>
      <c r="AJ398" s="122" t="str">
        <f t="shared" ref="AJ398:AJ416" si="378">A49</f>
        <v>Sea</v>
      </c>
      <c r="AK398" s="122" t="str">
        <f t="shared" ref="AK398:AK416" si="379">B49</f>
        <v>Dry bulk</v>
      </c>
      <c r="AL398" s="122" t="str">
        <f t="shared" ref="AL398:AL416" si="380">C49</f>
        <v>MGO</v>
      </c>
      <c r="AM398" s="132">
        <f t="shared" ref="AM398:AM416" si="381">T49</f>
        <v>0.73835121583803198</v>
      </c>
    </row>
    <row r="399" spans="33:39" x14ac:dyDescent="0.35">
      <c r="AG399" s="122" t="s">
        <v>102</v>
      </c>
      <c r="AH399" s="122" t="s">
        <v>417</v>
      </c>
      <c r="AI399" s="122">
        <v>2034</v>
      </c>
      <c r="AJ399" s="122" t="str">
        <f t="shared" si="378"/>
        <v>Sea</v>
      </c>
      <c r="AK399" s="122" t="str">
        <f t="shared" si="379"/>
        <v>Dry bulk</v>
      </c>
      <c r="AL399" s="122" t="str">
        <f t="shared" si="380"/>
        <v>Hydrogen</v>
      </c>
      <c r="AM399" s="132">
        <f t="shared" si="381"/>
        <v>0.93753665040880552</v>
      </c>
    </row>
    <row r="400" spans="33:39" x14ac:dyDescent="0.35">
      <c r="AG400" s="122" t="s">
        <v>102</v>
      </c>
      <c r="AH400" s="122" t="s">
        <v>417</v>
      </c>
      <c r="AI400" s="122">
        <v>2034</v>
      </c>
      <c r="AJ400" s="122" t="str">
        <f t="shared" si="378"/>
        <v>Sea</v>
      </c>
      <c r="AK400" s="122" t="str">
        <f t="shared" si="379"/>
        <v>Dry bulk</v>
      </c>
      <c r="AL400" s="122" t="str">
        <f t="shared" si="380"/>
        <v>Ammonia</v>
      </c>
      <c r="AM400" s="132">
        <f t="shared" si="381"/>
        <v>0.92804871734830874</v>
      </c>
    </row>
    <row r="401" spans="33:39" x14ac:dyDescent="0.35">
      <c r="AG401" s="122" t="s">
        <v>102</v>
      </c>
      <c r="AH401" s="122" t="s">
        <v>417</v>
      </c>
      <c r="AI401" s="122">
        <v>2034</v>
      </c>
      <c r="AJ401" s="122" t="str">
        <f t="shared" si="378"/>
        <v>Sea</v>
      </c>
      <c r="AK401" s="122" t="str">
        <f t="shared" si="379"/>
        <v>Dry bulk</v>
      </c>
      <c r="AL401" s="122" t="str">
        <f t="shared" si="380"/>
        <v>Methanol</v>
      </c>
      <c r="AM401" s="132">
        <f t="shared" si="381"/>
        <v>0.93916520712563734</v>
      </c>
    </row>
    <row r="402" spans="33:39" x14ac:dyDescent="0.35">
      <c r="AG402" s="122" t="s">
        <v>419</v>
      </c>
      <c r="AH402" s="122" t="s">
        <v>417</v>
      </c>
      <c r="AI402" s="122">
        <v>2034</v>
      </c>
      <c r="AJ402" s="122" t="str">
        <f t="shared" si="378"/>
        <v>Sea</v>
      </c>
      <c r="AK402" s="122" t="str">
        <f t="shared" si="379"/>
        <v>Container</v>
      </c>
      <c r="AL402" s="122" t="str">
        <f t="shared" si="380"/>
        <v>HFO</v>
      </c>
      <c r="AM402" s="132">
        <f t="shared" si="381"/>
        <v>0.84250689294898151</v>
      </c>
    </row>
    <row r="403" spans="33:39" x14ac:dyDescent="0.35">
      <c r="AG403" s="122" t="s">
        <v>419</v>
      </c>
      <c r="AH403" s="122" t="s">
        <v>417</v>
      </c>
      <c r="AI403" s="122">
        <v>2034</v>
      </c>
      <c r="AJ403" s="122" t="str">
        <f t="shared" si="378"/>
        <v>Sea</v>
      </c>
      <c r="AK403" s="122" t="str">
        <f t="shared" si="379"/>
        <v>Container</v>
      </c>
      <c r="AL403" s="122" t="str">
        <f t="shared" si="380"/>
        <v>MGO</v>
      </c>
      <c r="AM403" s="132">
        <f t="shared" si="381"/>
        <v>0.75316530828842887</v>
      </c>
    </row>
    <row r="404" spans="33:39" x14ac:dyDescent="0.35">
      <c r="AG404" s="122" t="s">
        <v>102</v>
      </c>
      <c r="AH404" s="122" t="s">
        <v>417</v>
      </c>
      <c r="AI404" s="122">
        <v>2034</v>
      </c>
      <c r="AJ404" s="122" t="str">
        <f t="shared" si="378"/>
        <v>Sea</v>
      </c>
      <c r="AK404" s="122" t="str">
        <f t="shared" si="379"/>
        <v>Container</v>
      </c>
      <c r="AL404" s="122" t="str">
        <f t="shared" si="380"/>
        <v>Hydrogen</v>
      </c>
      <c r="AM404" s="132">
        <f t="shared" si="381"/>
        <v>0.93928673148387354</v>
      </c>
    </row>
    <row r="405" spans="33:39" x14ac:dyDescent="0.35">
      <c r="AG405" s="122" t="s">
        <v>102</v>
      </c>
      <c r="AH405" s="122" t="s">
        <v>417</v>
      </c>
      <c r="AI405" s="122">
        <v>2034</v>
      </c>
      <c r="AJ405" s="122" t="str">
        <f t="shared" si="378"/>
        <v>Sea</v>
      </c>
      <c r="AK405" s="122" t="str">
        <f t="shared" si="379"/>
        <v>Container</v>
      </c>
      <c r="AL405" s="122" t="str">
        <f t="shared" si="380"/>
        <v>Ammonia</v>
      </c>
      <c r="AM405" s="132">
        <f t="shared" si="381"/>
        <v>0.93010321230847193</v>
      </c>
    </row>
    <row r="406" spans="33:39" x14ac:dyDescent="0.35">
      <c r="AG406" s="122" t="s">
        <v>102</v>
      </c>
      <c r="AH406" s="122" t="s">
        <v>417</v>
      </c>
      <c r="AI406" s="122">
        <v>2034</v>
      </c>
      <c r="AJ406" s="122" t="str">
        <f t="shared" si="378"/>
        <v>Sea</v>
      </c>
      <c r="AK406" s="122" t="str">
        <f t="shared" si="379"/>
        <v>Container</v>
      </c>
      <c r="AL406" s="122" t="str">
        <f t="shared" si="380"/>
        <v>Methanol</v>
      </c>
      <c r="AM406" s="132">
        <f t="shared" si="381"/>
        <v>0.94037487721817903</v>
      </c>
    </row>
    <row r="407" spans="33:39" x14ac:dyDescent="0.35">
      <c r="AG407" s="122" t="s">
        <v>419</v>
      </c>
      <c r="AH407" s="122" t="s">
        <v>417</v>
      </c>
      <c r="AI407" s="122">
        <v>2034</v>
      </c>
      <c r="AJ407" s="122" t="str">
        <f t="shared" si="378"/>
        <v>Sea</v>
      </c>
      <c r="AK407" s="122" t="str">
        <f t="shared" si="379"/>
        <v>Break bulk</v>
      </c>
      <c r="AL407" s="122" t="str">
        <f t="shared" si="380"/>
        <v>HFO</v>
      </c>
      <c r="AM407" s="132">
        <f t="shared" si="381"/>
        <v>0.82864914807630097</v>
      </c>
    </row>
    <row r="408" spans="33:39" x14ac:dyDescent="0.35">
      <c r="AG408" s="122" t="s">
        <v>419</v>
      </c>
      <c r="AH408" s="122" t="s">
        <v>417</v>
      </c>
      <c r="AI408" s="122">
        <v>2034</v>
      </c>
      <c r="AJ408" s="122" t="str">
        <f t="shared" si="378"/>
        <v>Sea</v>
      </c>
      <c r="AK408" s="122" t="str">
        <f t="shared" si="379"/>
        <v>Break bulk</v>
      </c>
      <c r="AL408" s="122" t="str">
        <f t="shared" si="380"/>
        <v>MGO</v>
      </c>
      <c r="AM408" s="132">
        <f t="shared" si="381"/>
        <v>0.73829558132911666</v>
      </c>
    </row>
    <row r="409" spans="33:39" x14ac:dyDescent="0.35">
      <c r="AG409" s="122" t="s">
        <v>102</v>
      </c>
      <c r="AH409" s="122" t="s">
        <v>417</v>
      </c>
      <c r="AI409" s="122">
        <v>2034</v>
      </c>
      <c r="AJ409" s="122" t="str">
        <f t="shared" si="378"/>
        <v>Sea</v>
      </c>
      <c r="AK409" s="122" t="str">
        <f t="shared" si="379"/>
        <v>Break bulk</v>
      </c>
      <c r="AL409" s="122" t="str">
        <f t="shared" si="380"/>
        <v>Hydrogen</v>
      </c>
      <c r="AM409" s="132">
        <f t="shared" si="381"/>
        <v>0.93752900864987176</v>
      </c>
    </row>
    <row r="410" spans="33:39" x14ac:dyDescent="0.35">
      <c r="AG410" s="122" t="s">
        <v>102</v>
      </c>
      <c r="AH410" s="122" t="s">
        <v>417</v>
      </c>
      <c r="AI410" s="122">
        <v>2034</v>
      </c>
      <c r="AJ410" s="122" t="str">
        <f t="shared" si="378"/>
        <v>Sea</v>
      </c>
      <c r="AK410" s="122" t="str">
        <f t="shared" si="379"/>
        <v>Break bulk</v>
      </c>
      <c r="AL410" s="122" t="str">
        <f t="shared" si="380"/>
        <v>Ammonia</v>
      </c>
      <c r="AM410" s="132">
        <f t="shared" si="381"/>
        <v>0.92804002894442783</v>
      </c>
    </row>
    <row r="411" spans="33:39" x14ac:dyDescent="0.35">
      <c r="AG411" s="122" t="s">
        <v>102</v>
      </c>
      <c r="AH411" s="122" t="s">
        <v>417</v>
      </c>
      <c r="AI411" s="122">
        <v>2034</v>
      </c>
      <c r="AJ411" s="122" t="str">
        <f t="shared" si="378"/>
        <v>Sea</v>
      </c>
      <c r="AK411" s="122" t="str">
        <f t="shared" si="379"/>
        <v>Break bulk</v>
      </c>
      <c r="AL411" s="122" t="str">
        <f t="shared" si="380"/>
        <v>Methanol</v>
      </c>
      <c r="AM411" s="132">
        <f t="shared" si="381"/>
        <v>0.93916048165345323</v>
      </c>
    </row>
    <row r="412" spans="33:39" x14ac:dyDescent="0.35">
      <c r="AG412" s="122" t="s">
        <v>419</v>
      </c>
      <c r="AH412" s="122" t="s">
        <v>417</v>
      </c>
      <c r="AI412" s="122">
        <v>2034</v>
      </c>
      <c r="AJ412" s="122" t="str">
        <f t="shared" si="378"/>
        <v>Sea</v>
      </c>
      <c r="AK412" s="122" t="str">
        <f t="shared" si="379"/>
        <v>Neo bulk</v>
      </c>
      <c r="AL412" s="122" t="str">
        <f t="shared" si="380"/>
        <v>HFO</v>
      </c>
      <c r="AM412" s="132">
        <f t="shared" si="381"/>
        <v>0.82855762376584252</v>
      </c>
    </row>
    <row r="413" spans="33:39" x14ac:dyDescent="0.35">
      <c r="AG413" s="122" t="s">
        <v>419</v>
      </c>
      <c r="AH413" s="122" t="s">
        <v>417</v>
      </c>
      <c r="AI413" s="122">
        <v>2034</v>
      </c>
      <c r="AJ413" s="122" t="str">
        <f t="shared" si="378"/>
        <v>Sea</v>
      </c>
      <c r="AK413" s="122" t="str">
        <f t="shared" si="379"/>
        <v>Neo bulk</v>
      </c>
      <c r="AL413" s="122" t="str">
        <f t="shared" si="380"/>
        <v>MGO</v>
      </c>
      <c r="AM413" s="132">
        <f t="shared" si="381"/>
        <v>0.73819989411925202</v>
      </c>
    </row>
    <row r="414" spans="33:39" x14ac:dyDescent="0.35">
      <c r="AG414" s="122" t="s">
        <v>102</v>
      </c>
      <c r="AH414" s="122" t="s">
        <v>417</v>
      </c>
      <c r="AI414" s="122">
        <v>2034</v>
      </c>
      <c r="AJ414" s="122" t="str">
        <f t="shared" si="378"/>
        <v>Sea</v>
      </c>
      <c r="AK414" s="122" t="str">
        <f t="shared" si="379"/>
        <v>Neo bulk</v>
      </c>
      <c r="AL414" s="122" t="str">
        <f t="shared" si="380"/>
        <v>Hydrogen</v>
      </c>
      <c r="AM414" s="132">
        <f t="shared" si="381"/>
        <v>0.93751938467810003</v>
      </c>
    </row>
    <row r="415" spans="33:39" x14ac:dyDescent="0.35">
      <c r="AG415" s="122" t="s">
        <v>102</v>
      </c>
      <c r="AH415" s="122" t="s">
        <v>417</v>
      </c>
      <c r="AI415" s="122">
        <v>2034</v>
      </c>
      <c r="AJ415" s="122" t="str">
        <f t="shared" si="378"/>
        <v>Sea</v>
      </c>
      <c r="AK415" s="122" t="str">
        <f t="shared" si="379"/>
        <v>Neo bulk</v>
      </c>
      <c r="AL415" s="122" t="str">
        <f t="shared" si="380"/>
        <v>Ammonia</v>
      </c>
      <c r="AM415" s="132">
        <f t="shared" si="381"/>
        <v>0.928028418354094</v>
      </c>
    </row>
    <row r="416" spans="33:39" x14ac:dyDescent="0.35">
      <c r="AG416" s="122" t="s">
        <v>102</v>
      </c>
      <c r="AH416" s="122" t="s">
        <v>417</v>
      </c>
      <c r="AI416" s="122">
        <v>2034</v>
      </c>
      <c r="AJ416" s="122" t="str">
        <f t="shared" si="378"/>
        <v>Sea</v>
      </c>
      <c r="AK416" s="122" t="str">
        <f t="shared" si="379"/>
        <v>Neo bulk</v>
      </c>
      <c r="AL416" s="122" t="str">
        <f t="shared" si="380"/>
        <v>Methanol</v>
      </c>
      <c r="AM416" s="132">
        <f t="shared" si="381"/>
        <v>0.93915334009684803</v>
      </c>
    </row>
    <row r="417" spans="33:39" x14ac:dyDescent="0.35">
      <c r="AG417" s="122" t="s">
        <v>419</v>
      </c>
      <c r="AH417" s="122" t="s">
        <v>418</v>
      </c>
      <c r="AI417" s="122">
        <v>2034</v>
      </c>
      <c r="AJ417" s="122" t="str">
        <f>A48</f>
        <v>Sea</v>
      </c>
      <c r="AK417" s="122" t="str">
        <f t="shared" ref="AK417:AL417" si="382">B48</f>
        <v>Dry bulk</v>
      </c>
      <c r="AL417" s="122" t="str">
        <f t="shared" si="382"/>
        <v>HFO</v>
      </c>
      <c r="AM417" s="132">
        <f>U48</f>
        <v>1.0704106913051665</v>
      </c>
    </row>
    <row r="418" spans="33:39" x14ac:dyDescent="0.35">
      <c r="AG418" s="122" t="s">
        <v>419</v>
      </c>
      <c r="AH418" s="122" t="s">
        <v>418</v>
      </c>
      <c r="AI418" s="122">
        <v>2034</v>
      </c>
      <c r="AJ418" s="122" t="str">
        <f t="shared" ref="AJ418:AJ436" si="383">A49</f>
        <v>Sea</v>
      </c>
      <c r="AK418" s="122" t="str">
        <f t="shared" ref="AK418:AK436" si="384">B49</f>
        <v>Dry bulk</v>
      </c>
      <c r="AL418" s="122" t="str">
        <f t="shared" ref="AL418:AL436" si="385">C49</f>
        <v>MGO</v>
      </c>
      <c r="AM418" s="132">
        <f t="shared" ref="AM418:AM436" si="386">U49</f>
        <v>1.1075488867414225</v>
      </c>
    </row>
    <row r="419" spans="33:39" x14ac:dyDescent="0.35">
      <c r="AG419" s="122" t="s">
        <v>102</v>
      </c>
      <c r="AH419" s="122" t="s">
        <v>418</v>
      </c>
      <c r="AI419" s="122">
        <v>2034</v>
      </c>
      <c r="AJ419" s="122" t="str">
        <f t="shared" si="383"/>
        <v>Sea</v>
      </c>
      <c r="AK419" s="122" t="str">
        <f t="shared" si="384"/>
        <v>Dry bulk</v>
      </c>
      <c r="AL419" s="122" t="str">
        <f t="shared" si="385"/>
        <v>Hydrogen</v>
      </c>
      <c r="AM419" s="132">
        <f t="shared" si="386"/>
        <v>1.0893628303785809</v>
      </c>
    </row>
    <row r="420" spans="33:39" x14ac:dyDescent="0.35">
      <c r="AG420" s="122" t="s">
        <v>102</v>
      </c>
      <c r="AH420" s="122" t="s">
        <v>418</v>
      </c>
      <c r="AI420" s="122">
        <v>2034</v>
      </c>
      <c r="AJ420" s="122" t="str">
        <f t="shared" si="383"/>
        <v>Sea</v>
      </c>
      <c r="AK420" s="122" t="str">
        <f t="shared" si="384"/>
        <v>Dry bulk</v>
      </c>
      <c r="AL420" s="122" t="str">
        <f t="shared" si="385"/>
        <v>Ammonia</v>
      </c>
      <c r="AM420" s="132">
        <f t="shared" si="386"/>
        <v>1.102936687020557</v>
      </c>
    </row>
    <row r="421" spans="33:39" x14ac:dyDescent="0.35">
      <c r="AG421" s="122" t="s">
        <v>102</v>
      </c>
      <c r="AH421" s="122" t="s">
        <v>418</v>
      </c>
      <c r="AI421" s="122">
        <v>2034</v>
      </c>
      <c r="AJ421" s="122" t="str">
        <f t="shared" si="383"/>
        <v>Sea</v>
      </c>
      <c r="AK421" s="122" t="str">
        <f t="shared" si="384"/>
        <v>Dry bulk</v>
      </c>
      <c r="AL421" s="122" t="str">
        <f t="shared" si="385"/>
        <v>Methanol</v>
      </c>
      <c r="AM421" s="132">
        <f t="shared" si="386"/>
        <v>1.0870329451162544</v>
      </c>
    </row>
    <row r="422" spans="33:39" x14ac:dyDescent="0.35">
      <c r="AG422" s="122" t="s">
        <v>419</v>
      </c>
      <c r="AH422" s="122" t="s">
        <v>418</v>
      </c>
      <c r="AI422" s="122">
        <v>2034</v>
      </c>
      <c r="AJ422" s="122" t="str">
        <f t="shared" si="383"/>
        <v>Sea</v>
      </c>
      <c r="AK422" s="122" t="str">
        <f t="shared" si="384"/>
        <v>Container</v>
      </c>
      <c r="AL422" s="122" t="str">
        <f t="shared" si="385"/>
        <v>HFO</v>
      </c>
      <c r="AM422" s="132">
        <f t="shared" si="386"/>
        <v>1.0647364305056337</v>
      </c>
    </row>
    <row r="423" spans="33:39" x14ac:dyDescent="0.35">
      <c r="AG423" s="122" t="s">
        <v>419</v>
      </c>
      <c r="AH423" s="122" t="s">
        <v>418</v>
      </c>
      <c r="AI423" s="122">
        <v>2034</v>
      </c>
      <c r="AJ423" s="122" t="str">
        <f t="shared" si="383"/>
        <v>Sea</v>
      </c>
      <c r="AK423" s="122" t="str">
        <f t="shared" si="384"/>
        <v>Container</v>
      </c>
      <c r="AL423" s="122" t="str">
        <f t="shared" si="385"/>
        <v>MGO</v>
      </c>
      <c r="AM423" s="132">
        <f t="shared" si="386"/>
        <v>1.1014596585562899</v>
      </c>
    </row>
    <row r="424" spans="33:39" x14ac:dyDescent="0.35">
      <c r="AG424" s="122" t="s">
        <v>102</v>
      </c>
      <c r="AH424" s="122" t="s">
        <v>418</v>
      </c>
      <c r="AI424" s="122">
        <v>2034</v>
      </c>
      <c r="AJ424" s="122" t="str">
        <f t="shared" si="383"/>
        <v>Sea</v>
      </c>
      <c r="AK424" s="122" t="str">
        <f t="shared" si="384"/>
        <v>Container</v>
      </c>
      <c r="AL424" s="122" t="str">
        <f t="shared" si="385"/>
        <v>Hydrogen</v>
      </c>
      <c r="AM424" s="132">
        <f t="shared" si="386"/>
        <v>1.0868590869949228</v>
      </c>
    </row>
    <row r="425" spans="33:39" x14ac:dyDescent="0.35">
      <c r="AG425" s="122" t="s">
        <v>102</v>
      </c>
      <c r="AH425" s="122" t="s">
        <v>418</v>
      </c>
      <c r="AI425" s="122">
        <v>2034</v>
      </c>
      <c r="AJ425" s="122" t="str">
        <f t="shared" si="383"/>
        <v>Sea</v>
      </c>
      <c r="AK425" s="122" t="str">
        <f t="shared" si="384"/>
        <v>Container</v>
      </c>
      <c r="AL425" s="122" t="str">
        <f t="shared" si="385"/>
        <v>Ammonia</v>
      </c>
      <c r="AM425" s="132">
        <f t="shared" si="386"/>
        <v>1.0999974356701199</v>
      </c>
    </row>
    <row r="426" spans="33:39" x14ac:dyDescent="0.35">
      <c r="AG426" s="122" t="s">
        <v>102</v>
      </c>
      <c r="AH426" s="122" t="s">
        <v>418</v>
      </c>
      <c r="AI426" s="122">
        <v>2034</v>
      </c>
      <c r="AJ426" s="122" t="str">
        <f t="shared" si="383"/>
        <v>Sea</v>
      </c>
      <c r="AK426" s="122" t="str">
        <f t="shared" si="384"/>
        <v>Container</v>
      </c>
      <c r="AL426" s="122" t="str">
        <f t="shared" si="385"/>
        <v>Methanol</v>
      </c>
      <c r="AM426" s="132">
        <f t="shared" si="386"/>
        <v>1.0853023375839761</v>
      </c>
    </row>
    <row r="427" spans="33:39" x14ac:dyDescent="0.35">
      <c r="AG427" s="122" t="s">
        <v>419</v>
      </c>
      <c r="AH427" s="122" t="s">
        <v>418</v>
      </c>
      <c r="AI427" s="122">
        <v>2034</v>
      </c>
      <c r="AJ427" s="122" t="str">
        <f t="shared" si="383"/>
        <v>Sea</v>
      </c>
      <c r="AK427" s="122" t="str">
        <f t="shared" si="384"/>
        <v>Break bulk</v>
      </c>
      <c r="AL427" s="122" t="str">
        <f t="shared" si="385"/>
        <v>HFO</v>
      </c>
      <c r="AM427" s="132">
        <f t="shared" si="386"/>
        <v>1.0704325587661827</v>
      </c>
    </row>
    <row r="428" spans="33:39" x14ac:dyDescent="0.35">
      <c r="AG428" s="122" t="s">
        <v>419</v>
      </c>
      <c r="AH428" s="122" t="s">
        <v>418</v>
      </c>
      <c r="AI428" s="122">
        <v>2034</v>
      </c>
      <c r="AJ428" s="122" t="str">
        <f t="shared" si="383"/>
        <v>Sea</v>
      </c>
      <c r="AK428" s="122" t="str">
        <f t="shared" si="384"/>
        <v>Break bulk</v>
      </c>
      <c r="AL428" s="122" t="str">
        <f t="shared" si="385"/>
        <v>MGO</v>
      </c>
      <c r="AM428" s="132">
        <f t="shared" si="386"/>
        <v>1.1075717549137987</v>
      </c>
    </row>
    <row r="429" spans="33:39" x14ac:dyDescent="0.35">
      <c r="AG429" s="122" t="s">
        <v>102</v>
      </c>
      <c r="AH429" s="122" t="s">
        <v>418</v>
      </c>
      <c r="AI429" s="122">
        <v>2034</v>
      </c>
      <c r="AJ429" s="122" t="str">
        <f t="shared" si="383"/>
        <v>Sea</v>
      </c>
      <c r="AK429" s="122" t="str">
        <f t="shared" si="384"/>
        <v>Break bulk</v>
      </c>
      <c r="AL429" s="122" t="str">
        <f t="shared" si="385"/>
        <v>Hydrogen</v>
      </c>
      <c r="AM429" s="132">
        <f t="shared" si="386"/>
        <v>1.0893737630168694</v>
      </c>
    </row>
    <row r="430" spans="33:39" x14ac:dyDescent="0.35">
      <c r="AG430" s="122" t="s">
        <v>102</v>
      </c>
      <c r="AH430" s="122" t="s">
        <v>418</v>
      </c>
      <c r="AI430" s="122">
        <v>2034</v>
      </c>
      <c r="AJ430" s="122" t="str">
        <f t="shared" si="383"/>
        <v>Sea</v>
      </c>
      <c r="AK430" s="122" t="str">
        <f t="shared" si="384"/>
        <v>Break bulk</v>
      </c>
      <c r="AL430" s="122" t="str">
        <f t="shared" si="385"/>
        <v>Ammonia</v>
      </c>
      <c r="AM430" s="132">
        <f t="shared" si="386"/>
        <v>1.1029491170353949</v>
      </c>
    </row>
    <row r="431" spans="33:39" x14ac:dyDescent="0.35">
      <c r="AG431" s="122" t="s">
        <v>102</v>
      </c>
      <c r="AH431" s="122" t="s">
        <v>418</v>
      </c>
      <c r="AI431" s="122">
        <v>2034</v>
      </c>
      <c r="AJ431" s="122" t="str">
        <f t="shared" si="383"/>
        <v>Sea</v>
      </c>
      <c r="AK431" s="122" t="str">
        <f t="shared" si="384"/>
        <v>Break bulk</v>
      </c>
      <c r="AL431" s="122" t="str">
        <f t="shared" si="385"/>
        <v>Methanol</v>
      </c>
      <c r="AM431" s="132">
        <f t="shared" si="386"/>
        <v>1.0870397055857457</v>
      </c>
    </row>
    <row r="432" spans="33:39" x14ac:dyDescent="0.35">
      <c r="AG432" s="122" t="s">
        <v>419</v>
      </c>
      <c r="AH432" s="122" t="s">
        <v>418</v>
      </c>
      <c r="AI432" s="122">
        <v>2034</v>
      </c>
      <c r="AJ432" s="122" t="str">
        <f t="shared" si="383"/>
        <v>Sea</v>
      </c>
      <c r="AK432" s="122" t="str">
        <f t="shared" si="384"/>
        <v>Neo bulk</v>
      </c>
      <c r="AL432" s="122" t="str">
        <f t="shared" si="385"/>
        <v>HFO</v>
      </c>
      <c r="AM432" s="132">
        <f t="shared" si="386"/>
        <v>1.0704701791882731</v>
      </c>
    </row>
    <row r="433" spans="33:39" x14ac:dyDescent="0.35">
      <c r="AG433" s="122" t="s">
        <v>419</v>
      </c>
      <c r="AH433" s="122" t="s">
        <v>418</v>
      </c>
      <c r="AI433" s="122">
        <v>2034</v>
      </c>
      <c r="AJ433" s="122" t="str">
        <f t="shared" si="383"/>
        <v>Sea</v>
      </c>
      <c r="AK433" s="122" t="str">
        <f t="shared" si="384"/>
        <v>Neo bulk</v>
      </c>
      <c r="AL433" s="122" t="str">
        <f t="shared" si="385"/>
        <v>MGO</v>
      </c>
      <c r="AM433" s="132">
        <f t="shared" si="386"/>
        <v>1.1076110864663196</v>
      </c>
    </row>
    <row r="434" spans="33:39" x14ac:dyDescent="0.35">
      <c r="AG434" s="122" t="s">
        <v>102</v>
      </c>
      <c r="AH434" s="122" t="s">
        <v>418</v>
      </c>
      <c r="AI434" s="122">
        <v>2034</v>
      </c>
      <c r="AJ434" s="122" t="str">
        <f t="shared" si="383"/>
        <v>Sea</v>
      </c>
      <c r="AK434" s="122" t="str">
        <f t="shared" si="384"/>
        <v>Neo bulk</v>
      </c>
      <c r="AL434" s="122" t="str">
        <f t="shared" si="385"/>
        <v>Hydrogen</v>
      </c>
      <c r="AM434" s="132">
        <f t="shared" si="386"/>
        <v>1.089387531496508</v>
      </c>
    </row>
    <row r="435" spans="33:39" x14ac:dyDescent="0.35">
      <c r="AG435" s="122" t="s">
        <v>102</v>
      </c>
      <c r="AH435" s="122" t="s">
        <v>418</v>
      </c>
      <c r="AI435" s="122">
        <v>2034</v>
      </c>
      <c r="AJ435" s="122" t="str">
        <f t="shared" si="383"/>
        <v>Sea</v>
      </c>
      <c r="AK435" s="122" t="str">
        <f t="shared" si="384"/>
        <v>Neo bulk</v>
      </c>
      <c r="AL435" s="122" t="str">
        <f t="shared" si="385"/>
        <v>Ammonia</v>
      </c>
      <c r="AM435" s="132">
        <f t="shared" si="386"/>
        <v>1.1029657276594071</v>
      </c>
    </row>
    <row r="436" spans="33:39" x14ac:dyDescent="0.35">
      <c r="AG436" s="122" t="s">
        <v>102</v>
      </c>
      <c r="AH436" s="122" t="s">
        <v>418</v>
      </c>
      <c r="AI436" s="122">
        <v>2034</v>
      </c>
      <c r="AJ436" s="122" t="str">
        <f t="shared" si="383"/>
        <v>Sea</v>
      </c>
      <c r="AK436" s="122" t="str">
        <f t="shared" si="384"/>
        <v>Neo bulk</v>
      </c>
      <c r="AL436" s="122" t="str">
        <f t="shared" si="385"/>
        <v>Methanol</v>
      </c>
      <c r="AM436" s="132">
        <f t="shared" si="386"/>
        <v>1.0870499226124619</v>
      </c>
    </row>
    <row r="437" spans="33:39" x14ac:dyDescent="0.35">
      <c r="AG437" s="122" t="s">
        <v>419</v>
      </c>
      <c r="AH437" s="122" t="s">
        <v>416</v>
      </c>
      <c r="AI437" s="122">
        <v>2050</v>
      </c>
      <c r="AJ437" s="122" t="str">
        <f>A48</f>
        <v>Sea</v>
      </c>
      <c r="AK437" s="122" t="str">
        <f t="shared" ref="AK437:AL437" si="387">B48</f>
        <v>Dry bulk</v>
      </c>
      <c r="AL437" s="122" t="str">
        <f t="shared" si="387"/>
        <v>HFO</v>
      </c>
      <c r="AM437" s="132">
        <f>AB48</f>
        <v>1</v>
      </c>
    </row>
    <row r="438" spans="33:39" x14ac:dyDescent="0.35">
      <c r="AG438" s="122" t="s">
        <v>419</v>
      </c>
      <c r="AH438" s="122" t="s">
        <v>416</v>
      </c>
      <c r="AI438" s="122">
        <v>2050</v>
      </c>
      <c r="AJ438" s="122" t="str">
        <f t="shared" ref="AJ438:AJ452" si="388">A49</f>
        <v>Sea</v>
      </c>
      <c r="AK438" s="122" t="str">
        <f t="shared" ref="AK438:AK453" si="389">B49</f>
        <v>Dry bulk</v>
      </c>
      <c r="AL438" s="122" t="str">
        <f t="shared" ref="AL438:AL453" si="390">C49</f>
        <v>MGO</v>
      </c>
      <c r="AM438" s="132">
        <f t="shared" ref="AM438:AM452" si="391">AB49</f>
        <v>1</v>
      </c>
    </row>
    <row r="439" spans="33:39" x14ac:dyDescent="0.35">
      <c r="AG439" s="122" t="s">
        <v>102</v>
      </c>
      <c r="AH439" s="122" t="s">
        <v>416</v>
      </c>
      <c r="AI439" s="122">
        <v>2050</v>
      </c>
      <c r="AJ439" s="122" t="str">
        <f t="shared" si="388"/>
        <v>Sea</v>
      </c>
      <c r="AK439" s="122" t="str">
        <f t="shared" si="389"/>
        <v>Dry bulk</v>
      </c>
      <c r="AL439" s="122" t="str">
        <f t="shared" si="390"/>
        <v>Hydrogen</v>
      </c>
      <c r="AM439" s="132">
        <f t="shared" si="391"/>
        <v>1</v>
      </c>
    </row>
    <row r="440" spans="33:39" x14ac:dyDescent="0.35">
      <c r="AG440" s="122" t="s">
        <v>102</v>
      </c>
      <c r="AH440" s="122" t="s">
        <v>416</v>
      </c>
      <c r="AI440" s="122">
        <v>2050</v>
      </c>
      <c r="AJ440" s="122" t="str">
        <f t="shared" si="388"/>
        <v>Sea</v>
      </c>
      <c r="AK440" s="122" t="str">
        <f t="shared" si="389"/>
        <v>Dry bulk</v>
      </c>
      <c r="AL440" s="122" t="str">
        <f t="shared" si="390"/>
        <v>Ammonia</v>
      </c>
      <c r="AM440" s="132">
        <f t="shared" si="391"/>
        <v>1</v>
      </c>
    </row>
    <row r="441" spans="33:39" x14ac:dyDescent="0.35">
      <c r="AG441" s="122" t="s">
        <v>102</v>
      </c>
      <c r="AH441" s="122" t="s">
        <v>416</v>
      </c>
      <c r="AI441" s="122">
        <v>2050</v>
      </c>
      <c r="AJ441" s="122" t="str">
        <f t="shared" si="388"/>
        <v>Sea</v>
      </c>
      <c r="AK441" s="122" t="str">
        <f t="shared" si="389"/>
        <v>Dry bulk</v>
      </c>
      <c r="AL441" s="122" t="str">
        <f t="shared" si="390"/>
        <v>Methanol</v>
      </c>
      <c r="AM441" s="132">
        <f t="shared" si="391"/>
        <v>1</v>
      </c>
    </row>
    <row r="442" spans="33:39" x14ac:dyDescent="0.35">
      <c r="AG442" s="122" t="s">
        <v>419</v>
      </c>
      <c r="AH442" s="122" t="s">
        <v>416</v>
      </c>
      <c r="AI442" s="122">
        <v>2050</v>
      </c>
      <c r="AJ442" s="122" t="str">
        <f t="shared" si="388"/>
        <v>Sea</v>
      </c>
      <c r="AK442" s="122" t="str">
        <f t="shared" si="389"/>
        <v>Container</v>
      </c>
      <c r="AL442" s="122" t="str">
        <f t="shared" si="390"/>
        <v>HFO</v>
      </c>
      <c r="AM442" s="132">
        <f t="shared" si="391"/>
        <v>1</v>
      </c>
    </row>
    <row r="443" spans="33:39" x14ac:dyDescent="0.35">
      <c r="AG443" s="122" t="s">
        <v>419</v>
      </c>
      <c r="AH443" s="122" t="s">
        <v>416</v>
      </c>
      <c r="AI443" s="122">
        <v>2050</v>
      </c>
      <c r="AJ443" s="122" t="str">
        <f t="shared" si="388"/>
        <v>Sea</v>
      </c>
      <c r="AK443" s="122" t="str">
        <f t="shared" si="389"/>
        <v>Container</v>
      </c>
      <c r="AL443" s="122" t="str">
        <f t="shared" si="390"/>
        <v>MGO</v>
      </c>
      <c r="AM443" s="132">
        <f t="shared" si="391"/>
        <v>1</v>
      </c>
    </row>
    <row r="444" spans="33:39" x14ac:dyDescent="0.35">
      <c r="AG444" s="122" t="s">
        <v>102</v>
      </c>
      <c r="AH444" s="122" t="s">
        <v>416</v>
      </c>
      <c r="AI444" s="122">
        <v>2050</v>
      </c>
      <c r="AJ444" s="122" t="str">
        <f t="shared" si="388"/>
        <v>Sea</v>
      </c>
      <c r="AK444" s="122" t="str">
        <f t="shared" si="389"/>
        <v>Container</v>
      </c>
      <c r="AL444" s="122" t="str">
        <f t="shared" si="390"/>
        <v>Hydrogen</v>
      </c>
      <c r="AM444" s="132">
        <f t="shared" si="391"/>
        <v>1</v>
      </c>
    </row>
    <row r="445" spans="33:39" x14ac:dyDescent="0.35">
      <c r="AG445" s="122" t="s">
        <v>102</v>
      </c>
      <c r="AH445" s="122" t="s">
        <v>416</v>
      </c>
      <c r="AI445" s="122">
        <v>2050</v>
      </c>
      <c r="AJ445" s="122" t="str">
        <f t="shared" si="388"/>
        <v>Sea</v>
      </c>
      <c r="AK445" s="122" t="str">
        <f t="shared" si="389"/>
        <v>Container</v>
      </c>
      <c r="AL445" s="122" t="str">
        <f t="shared" si="390"/>
        <v>Ammonia</v>
      </c>
      <c r="AM445" s="132">
        <f t="shared" si="391"/>
        <v>1</v>
      </c>
    </row>
    <row r="446" spans="33:39" x14ac:dyDescent="0.35">
      <c r="AG446" s="122" t="s">
        <v>102</v>
      </c>
      <c r="AH446" s="122" t="s">
        <v>416</v>
      </c>
      <c r="AI446" s="122">
        <v>2050</v>
      </c>
      <c r="AJ446" s="122" t="str">
        <f t="shared" si="388"/>
        <v>Sea</v>
      </c>
      <c r="AK446" s="122" t="str">
        <f t="shared" si="389"/>
        <v>Container</v>
      </c>
      <c r="AL446" s="122" t="str">
        <f t="shared" si="390"/>
        <v>Methanol</v>
      </c>
      <c r="AM446" s="132">
        <f t="shared" si="391"/>
        <v>1</v>
      </c>
    </row>
    <row r="447" spans="33:39" x14ac:dyDescent="0.35">
      <c r="AG447" s="122" t="s">
        <v>419</v>
      </c>
      <c r="AH447" s="122" t="s">
        <v>416</v>
      </c>
      <c r="AI447" s="122">
        <v>2050</v>
      </c>
      <c r="AJ447" s="122" t="str">
        <f t="shared" si="388"/>
        <v>Sea</v>
      </c>
      <c r="AK447" s="122" t="str">
        <f t="shared" si="389"/>
        <v>Break bulk</v>
      </c>
      <c r="AL447" s="122" t="str">
        <f t="shared" si="390"/>
        <v>HFO</v>
      </c>
      <c r="AM447" s="132">
        <f t="shared" si="391"/>
        <v>1</v>
      </c>
    </row>
    <row r="448" spans="33:39" x14ac:dyDescent="0.35">
      <c r="AG448" s="122" t="s">
        <v>419</v>
      </c>
      <c r="AH448" s="122" t="s">
        <v>416</v>
      </c>
      <c r="AI448" s="122">
        <v>2050</v>
      </c>
      <c r="AJ448" s="122" t="str">
        <f t="shared" si="388"/>
        <v>Sea</v>
      </c>
      <c r="AK448" s="122" t="str">
        <f t="shared" si="389"/>
        <v>Break bulk</v>
      </c>
      <c r="AL448" s="122" t="str">
        <f t="shared" si="390"/>
        <v>MGO</v>
      </c>
      <c r="AM448" s="132">
        <f t="shared" si="391"/>
        <v>1</v>
      </c>
    </row>
    <row r="449" spans="33:39" x14ac:dyDescent="0.35">
      <c r="AG449" s="122" t="s">
        <v>102</v>
      </c>
      <c r="AH449" s="122" t="s">
        <v>416</v>
      </c>
      <c r="AI449" s="122">
        <v>2050</v>
      </c>
      <c r="AJ449" s="122" t="str">
        <f t="shared" si="388"/>
        <v>Sea</v>
      </c>
      <c r="AK449" s="122" t="str">
        <f t="shared" si="389"/>
        <v>Break bulk</v>
      </c>
      <c r="AL449" s="122" t="str">
        <f t="shared" si="390"/>
        <v>Hydrogen</v>
      </c>
      <c r="AM449" s="132">
        <f t="shared" si="391"/>
        <v>1</v>
      </c>
    </row>
    <row r="450" spans="33:39" x14ac:dyDescent="0.35">
      <c r="AG450" s="122" t="s">
        <v>102</v>
      </c>
      <c r="AH450" s="122" t="s">
        <v>416</v>
      </c>
      <c r="AI450" s="122">
        <v>2050</v>
      </c>
      <c r="AJ450" s="122" t="str">
        <f t="shared" si="388"/>
        <v>Sea</v>
      </c>
      <c r="AK450" s="122" t="str">
        <f t="shared" si="389"/>
        <v>Break bulk</v>
      </c>
      <c r="AL450" s="122" t="str">
        <f t="shared" si="390"/>
        <v>Ammonia</v>
      </c>
      <c r="AM450" s="132">
        <f t="shared" si="391"/>
        <v>1</v>
      </c>
    </row>
    <row r="451" spans="33:39" x14ac:dyDescent="0.35">
      <c r="AG451" s="122" t="s">
        <v>102</v>
      </c>
      <c r="AH451" s="122" t="s">
        <v>416</v>
      </c>
      <c r="AI451" s="122">
        <v>2050</v>
      </c>
      <c r="AJ451" s="122" t="str">
        <f t="shared" si="388"/>
        <v>Sea</v>
      </c>
      <c r="AK451" s="122" t="str">
        <f t="shared" si="389"/>
        <v>Break bulk</v>
      </c>
      <c r="AL451" s="122" t="str">
        <f t="shared" si="390"/>
        <v>Methanol</v>
      </c>
      <c r="AM451" s="132">
        <f t="shared" si="391"/>
        <v>1</v>
      </c>
    </row>
    <row r="452" spans="33:39" x14ac:dyDescent="0.35">
      <c r="AG452" s="122" t="s">
        <v>419</v>
      </c>
      <c r="AH452" s="122" t="s">
        <v>416</v>
      </c>
      <c r="AI452" s="122">
        <v>2050</v>
      </c>
      <c r="AJ452" s="122" t="str">
        <f t="shared" si="388"/>
        <v>Sea</v>
      </c>
      <c r="AK452" s="122" t="str">
        <f t="shared" si="389"/>
        <v>Neo bulk</v>
      </c>
      <c r="AL452" s="122" t="str">
        <f t="shared" si="390"/>
        <v>HFO</v>
      </c>
      <c r="AM452" s="132">
        <f t="shared" si="391"/>
        <v>1</v>
      </c>
    </row>
    <row r="453" spans="33:39" x14ac:dyDescent="0.35">
      <c r="AG453" s="122" t="s">
        <v>419</v>
      </c>
      <c r="AH453" s="122" t="s">
        <v>416</v>
      </c>
      <c r="AI453" s="122">
        <v>2050</v>
      </c>
      <c r="AJ453" s="122" t="str">
        <f>A64</f>
        <v>Sea</v>
      </c>
      <c r="AK453" s="122" t="str">
        <f t="shared" si="389"/>
        <v>Neo bulk</v>
      </c>
      <c r="AL453" s="122" t="str">
        <f t="shared" si="390"/>
        <v>MGO</v>
      </c>
      <c r="AM453" s="132">
        <f>AB64</f>
        <v>1</v>
      </c>
    </row>
    <row r="454" spans="33:39" x14ac:dyDescent="0.35">
      <c r="AG454" s="122" t="s">
        <v>102</v>
      </c>
      <c r="AH454" s="122" t="s">
        <v>416</v>
      </c>
      <c r="AI454" s="122">
        <v>2050</v>
      </c>
      <c r="AJ454" s="122" t="str">
        <f t="shared" ref="AJ454:AJ456" si="392">A65</f>
        <v>Sea</v>
      </c>
      <c r="AK454" s="122" t="str">
        <f t="shared" ref="AK454:AK456" si="393">B65</f>
        <v>Neo bulk</v>
      </c>
      <c r="AL454" s="122" t="str">
        <f t="shared" ref="AL454:AL456" si="394">C65</f>
        <v>Hydrogen</v>
      </c>
      <c r="AM454" s="132">
        <f t="shared" ref="AM454:AM456" si="395">AB65</f>
        <v>1</v>
      </c>
    </row>
    <row r="455" spans="33:39" x14ac:dyDescent="0.35">
      <c r="AG455" s="122" t="s">
        <v>102</v>
      </c>
      <c r="AH455" s="122" t="s">
        <v>416</v>
      </c>
      <c r="AI455" s="122">
        <v>2050</v>
      </c>
      <c r="AJ455" s="122" t="str">
        <f t="shared" si="392"/>
        <v>Sea</v>
      </c>
      <c r="AK455" s="122" t="str">
        <f t="shared" si="393"/>
        <v>Neo bulk</v>
      </c>
      <c r="AL455" s="122" t="str">
        <f t="shared" si="394"/>
        <v>Ammonia</v>
      </c>
      <c r="AM455" s="132">
        <f t="shared" si="395"/>
        <v>1</v>
      </c>
    </row>
    <row r="456" spans="33:39" x14ac:dyDescent="0.35">
      <c r="AG456" s="122" t="s">
        <v>102</v>
      </c>
      <c r="AH456" s="122" t="s">
        <v>416</v>
      </c>
      <c r="AI456" s="122">
        <v>2050</v>
      </c>
      <c r="AJ456" s="122" t="str">
        <f t="shared" si="392"/>
        <v>Sea</v>
      </c>
      <c r="AK456" s="122" t="str">
        <f t="shared" si="393"/>
        <v>Neo bulk</v>
      </c>
      <c r="AL456" s="122" t="str">
        <f t="shared" si="394"/>
        <v>Methanol</v>
      </c>
      <c r="AM456" s="132">
        <f t="shared" si="395"/>
        <v>1</v>
      </c>
    </row>
    <row r="457" spans="33:39" x14ac:dyDescent="0.35">
      <c r="AG457" s="122" t="s">
        <v>419</v>
      </c>
      <c r="AH457" s="122" t="s">
        <v>417</v>
      </c>
      <c r="AI457" s="122">
        <v>2050</v>
      </c>
      <c r="AJ457" s="122" t="str">
        <f>A48</f>
        <v>Sea</v>
      </c>
      <c r="AK457" s="122" t="str">
        <f t="shared" ref="AK457:AL457" si="396">B48</f>
        <v>Dry bulk</v>
      </c>
      <c r="AL457" s="122" t="str">
        <f t="shared" si="396"/>
        <v>HFO</v>
      </c>
      <c r="AM457" s="132">
        <f>AC48</f>
        <v>0.81532004109965084</v>
      </c>
    </row>
    <row r="458" spans="33:39" x14ac:dyDescent="0.35">
      <c r="AG458" s="122" t="s">
        <v>419</v>
      </c>
      <c r="AH458" s="122" t="s">
        <v>417</v>
      </c>
      <c r="AI458" s="122">
        <v>2050</v>
      </c>
      <c r="AJ458" s="122" t="str">
        <f t="shared" ref="AJ458:AJ476" si="397">A49</f>
        <v>Sea</v>
      </c>
      <c r="AK458" s="122" t="str">
        <f t="shared" ref="AK458:AK476" si="398">B49</f>
        <v>Dry bulk</v>
      </c>
      <c r="AL458" s="122" t="str">
        <f t="shared" ref="AL458:AL476" si="399">C49</f>
        <v>MGO</v>
      </c>
      <c r="AM458" s="132">
        <f t="shared" ref="AM458:AM476" si="400">AC49</f>
        <v>0.70353751502792938</v>
      </c>
    </row>
    <row r="459" spans="33:39" x14ac:dyDescent="0.35">
      <c r="AG459" s="122" t="s">
        <v>102</v>
      </c>
      <c r="AH459" s="122" t="s">
        <v>417</v>
      </c>
      <c r="AI459" s="122">
        <v>2050</v>
      </c>
      <c r="AJ459" s="122" t="str">
        <f t="shared" si="397"/>
        <v>Sea</v>
      </c>
      <c r="AK459" s="122" t="str">
        <f t="shared" si="398"/>
        <v>Dry bulk</v>
      </c>
      <c r="AL459" s="122" t="str">
        <f t="shared" si="399"/>
        <v>Hydrogen</v>
      </c>
      <c r="AM459" s="132">
        <f t="shared" si="400"/>
        <v>0.90430088955906274</v>
      </c>
    </row>
    <row r="460" spans="33:39" x14ac:dyDescent="0.35">
      <c r="AG460" s="122" t="s">
        <v>102</v>
      </c>
      <c r="AH460" s="122" t="s">
        <v>417</v>
      </c>
      <c r="AI460" s="122">
        <v>2050</v>
      </c>
      <c r="AJ460" s="122" t="str">
        <f t="shared" si="397"/>
        <v>Sea</v>
      </c>
      <c r="AK460" s="122" t="str">
        <f t="shared" si="398"/>
        <v>Dry bulk</v>
      </c>
      <c r="AL460" s="122" t="str">
        <f t="shared" si="399"/>
        <v>Ammonia</v>
      </c>
      <c r="AM460" s="132">
        <f t="shared" si="400"/>
        <v>0.89370673662032452</v>
      </c>
    </row>
    <row r="461" spans="33:39" x14ac:dyDescent="0.35">
      <c r="AG461" s="122" t="s">
        <v>102</v>
      </c>
      <c r="AH461" s="122" t="s">
        <v>417</v>
      </c>
      <c r="AI461" s="122">
        <v>2050</v>
      </c>
      <c r="AJ461" s="122" t="str">
        <f t="shared" si="397"/>
        <v>Sea</v>
      </c>
      <c r="AK461" s="122" t="str">
        <f t="shared" si="398"/>
        <v>Dry bulk</v>
      </c>
      <c r="AL461" s="122" t="str">
        <f t="shared" si="399"/>
        <v>Methanol</v>
      </c>
      <c r="AM461" s="132">
        <f t="shared" si="400"/>
        <v>0.89553183496293787</v>
      </c>
    </row>
    <row r="462" spans="33:39" x14ac:dyDescent="0.35">
      <c r="AG462" s="122" t="s">
        <v>419</v>
      </c>
      <c r="AH462" s="122" t="s">
        <v>417</v>
      </c>
      <c r="AI462" s="122">
        <v>2050</v>
      </c>
      <c r="AJ462" s="122" t="str">
        <f t="shared" si="397"/>
        <v>Sea</v>
      </c>
      <c r="AK462" s="122" t="str">
        <f t="shared" si="398"/>
        <v>Container</v>
      </c>
      <c r="AL462" s="122" t="str">
        <f t="shared" si="399"/>
        <v>HFO</v>
      </c>
      <c r="AM462" s="132">
        <f t="shared" si="400"/>
        <v>0.83119752026718741</v>
      </c>
    </row>
    <row r="463" spans="33:39" x14ac:dyDescent="0.35">
      <c r="AG463" s="122" t="s">
        <v>419</v>
      </c>
      <c r="AH463" s="122" t="s">
        <v>417</v>
      </c>
      <c r="AI463" s="122">
        <v>2050</v>
      </c>
      <c r="AJ463" s="122" t="str">
        <f t="shared" si="397"/>
        <v>Sea</v>
      </c>
      <c r="AK463" s="122" t="str">
        <f t="shared" si="398"/>
        <v>Container</v>
      </c>
      <c r="AL463" s="122" t="str">
        <f t="shared" si="399"/>
        <v>MGO</v>
      </c>
      <c r="AM463" s="132">
        <f t="shared" si="400"/>
        <v>0.72233155842612773</v>
      </c>
    </row>
    <row r="464" spans="33:39" x14ac:dyDescent="0.35">
      <c r="AG464" s="122" t="s">
        <v>102</v>
      </c>
      <c r="AH464" s="122" t="s">
        <v>417</v>
      </c>
      <c r="AI464" s="122">
        <v>2050</v>
      </c>
      <c r="AJ464" s="122" t="str">
        <f t="shared" si="397"/>
        <v>Sea</v>
      </c>
      <c r="AK464" s="122" t="str">
        <f t="shared" si="398"/>
        <v>Container</v>
      </c>
      <c r="AL464" s="122" t="str">
        <f t="shared" si="399"/>
        <v>Hydrogen</v>
      </c>
      <c r="AM464" s="132">
        <f t="shared" si="400"/>
        <v>0.9082311684216422</v>
      </c>
    </row>
    <row r="465" spans="33:39" x14ac:dyDescent="0.35">
      <c r="AG465" s="122" t="s">
        <v>102</v>
      </c>
      <c r="AH465" s="122" t="s">
        <v>417</v>
      </c>
      <c r="AI465" s="122">
        <v>2050</v>
      </c>
      <c r="AJ465" s="122" t="str">
        <f t="shared" si="397"/>
        <v>Sea</v>
      </c>
      <c r="AK465" s="122" t="str">
        <f t="shared" si="398"/>
        <v>Container</v>
      </c>
      <c r="AL465" s="122" t="str">
        <f t="shared" si="399"/>
        <v>Ammonia</v>
      </c>
      <c r="AM465" s="132">
        <f t="shared" si="400"/>
        <v>0.89800367098986189</v>
      </c>
    </row>
    <row r="466" spans="33:39" x14ac:dyDescent="0.35">
      <c r="AG466" s="122" t="s">
        <v>102</v>
      </c>
      <c r="AH466" s="122" t="s">
        <v>417</v>
      </c>
      <c r="AI466" s="122">
        <v>2050</v>
      </c>
      <c r="AJ466" s="122" t="str">
        <f t="shared" si="397"/>
        <v>Sea</v>
      </c>
      <c r="AK466" s="122" t="str">
        <f t="shared" si="398"/>
        <v>Container</v>
      </c>
      <c r="AL466" s="122" t="str">
        <f t="shared" si="399"/>
        <v>Methanol</v>
      </c>
      <c r="AM466" s="132">
        <f t="shared" si="400"/>
        <v>0.89880257328573265</v>
      </c>
    </row>
    <row r="467" spans="33:39" x14ac:dyDescent="0.35">
      <c r="AG467" s="122" t="s">
        <v>419</v>
      </c>
      <c r="AH467" s="122" t="s">
        <v>417</v>
      </c>
      <c r="AI467" s="122">
        <v>2050</v>
      </c>
      <c r="AJ467" s="122" t="str">
        <f t="shared" si="397"/>
        <v>Sea</v>
      </c>
      <c r="AK467" s="122" t="str">
        <f t="shared" si="398"/>
        <v>Break bulk</v>
      </c>
      <c r="AL467" s="122" t="str">
        <f t="shared" si="399"/>
        <v>HFO</v>
      </c>
      <c r="AM467" s="132">
        <f t="shared" si="400"/>
        <v>0.81525849060209021</v>
      </c>
    </row>
    <row r="468" spans="33:39" x14ac:dyDescent="0.35">
      <c r="AG468" s="122" t="s">
        <v>419</v>
      </c>
      <c r="AH468" s="122" t="s">
        <v>417</v>
      </c>
      <c r="AI468" s="122">
        <v>2050</v>
      </c>
      <c r="AJ468" s="122" t="str">
        <f t="shared" si="397"/>
        <v>Sea</v>
      </c>
      <c r="AK468" s="122" t="str">
        <f t="shared" si="398"/>
        <v>Break bulk</v>
      </c>
      <c r="AL468" s="122" t="str">
        <f t="shared" si="399"/>
        <v>MGO</v>
      </c>
      <c r="AM468" s="132">
        <f t="shared" si="400"/>
        <v>0.70346642119445302</v>
      </c>
    </row>
    <row r="469" spans="33:39" x14ac:dyDescent="0.35">
      <c r="AG469" s="122" t="s">
        <v>102</v>
      </c>
      <c r="AH469" s="122" t="s">
        <v>417</v>
      </c>
      <c r="AI469" s="122">
        <v>2050</v>
      </c>
      <c r="AJ469" s="122" t="str">
        <f t="shared" si="397"/>
        <v>Sea</v>
      </c>
      <c r="AK469" s="122" t="str">
        <f t="shared" si="398"/>
        <v>Break bulk</v>
      </c>
      <c r="AL469" s="122" t="str">
        <f t="shared" si="399"/>
        <v>Hydrogen</v>
      </c>
      <c r="AM469" s="132">
        <f t="shared" si="400"/>
        <v>0.90428400973451495</v>
      </c>
    </row>
    <row r="470" spans="33:39" x14ac:dyDescent="0.35">
      <c r="AG470" s="122" t="s">
        <v>102</v>
      </c>
      <c r="AH470" s="122" t="s">
        <v>417</v>
      </c>
      <c r="AI470" s="122">
        <v>2050</v>
      </c>
      <c r="AJ470" s="122" t="str">
        <f t="shared" si="397"/>
        <v>Sea</v>
      </c>
      <c r="AK470" s="122" t="str">
        <f t="shared" si="398"/>
        <v>Break bulk</v>
      </c>
      <c r="AL470" s="122" t="str">
        <f t="shared" si="399"/>
        <v>Ammonia</v>
      </c>
      <c r="AM470" s="132">
        <f t="shared" si="400"/>
        <v>0.89368862124159154</v>
      </c>
    </row>
    <row r="471" spans="33:39" x14ac:dyDescent="0.35">
      <c r="AG471" s="122" t="s">
        <v>102</v>
      </c>
      <c r="AH471" s="122" t="s">
        <v>417</v>
      </c>
      <c r="AI471" s="122">
        <v>2050</v>
      </c>
      <c r="AJ471" s="122" t="str">
        <f t="shared" si="397"/>
        <v>Sea</v>
      </c>
      <c r="AK471" s="122" t="str">
        <f t="shared" si="398"/>
        <v>Break bulk</v>
      </c>
      <c r="AL471" s="122" t="str">
        <f t="shared" si="399"/>
        <v>Methanol</v>
      </c>
      <c r="AM471" s="132">
        <f t="shared" si="400"/>
        <v>0.89551890682952884</v>
      </c>
    </row>
    <row r="472" spans="33:39" x14ac:dyDescent="0.35">
      <c r="AG472" s="122" t="s">
        <v>419</v>
      </c>
      <c r="AH472" s="122" t="s">
        <v>417</v>
      </c>
      <c r="AI472" s="122">
        <v>2050</v>
      </c>
      <c r="AJ472" s="122" t="str">
        <f t="shared" si="397"/>
        <v>Sea</v>
      </c>
      <c r="AK472" s="122" t="str">
        <f t="shared" si="398"/>
        <v>Neo bulk</v>
      </c>
      <c r="AL472" s="122" t="str">
        <f t="shared" si="399"/>
        <v>HFO</v>
      </c>
      <c r="AM472" s="132">
        <f t="shared" si="400"/>
        <v>0.81515259359266967</v>
      </c>
    </row>
    <row r="473" spans="33:39" x14ac:dyDescent="0.35">
      <c r="AG473" s="122" t="s">
        <v>419</v>
      </c>
      <c r="AH473" s="122" t="s">
        <v>417</v>
      </c>
      <c r="AI473" s="122">
        <v>2050</v>
      </c>
      <c r="AJ473" s="122" t="str">
        <f t="shared" si="397"/>
        <v>Sea</v>
      </c>
      <c r="AK473" s="122" t="str">
        <f t="shared" si="398"/>
        <v>Neo bulk</v>
      </c>
      <c r="AL473" s="122" t="str">
        <f t="shared" si="399"/>
        <v>MGO</v>
      </c>
      <c r="AM473" s="132">
        <f t="shared" si="400"/>
        <v>0.70334413606128077</v>
      </c>
    </row>
    <row r="474" spans="33:39" x14ac:dyDescent="0.35">
      <c r="AG474" s="122" t="s">
        <v>102</v>
      </c>
      <c r="AH474" s="122" t="s">
        <v>417</v>
      </c>
      <c r="AI474" s="122">
        <v>2050</v>
      </c>
      <c r="AJ474" s="122" t="str">
        <f t="shared" si="397"/>
        <v>Sea</v>
      </c>
      <c r="AK474" s="122" t="str">
        <f t="shared" si="398"/>
        <v>Neo bulk</v>
      </c>
      <c r="AL474" s="122" t="str">
        <f t="shared" si="399"/>
        <v>Hydrogen</v>
      </c>
      <c r="AM474" s="132">
        <f t="shared" si="400"/>
        <v>0.90426154805164216</v>
      </c>
    </row>
    <row r="475" spans="33:39" x14ac:dyDescent="0.35">
      <c r="AG475" s="122" t="s">
        <v>102</v>
      </c>
      <c r="AH475" s="122" t="s">
        <v>417</v>
      </c>
      <c r="AI475" s="122">
        <v>2050</v>
      </c>
      <c r="AJ475" s="122" t="str">
        <f t="shared" si="397"/>
        <v>Sea</v>
      </c>
      <c r="AK475" s="122" t="str">
        <f t="shared" si="398"/>
        <v>Neo bulk</v>
      </c>
      <c r="AL475" s="122" t="str">
        <f t="shared" si="399"/>
        <v>Ammonia</v>
      </c>
      <c r="AM475" s="132">
        <f t="shared" si="400"/>
        <v>0.89366373306301206</v>
      </c>
    </row>
    <row r="476" spans="33:39" x14ac:dyDescent="0.35">
      <c r="AG476" s="122" t="s">
        <v>102</v>
      </c>
      <c r="AH476" s="122" t="s">
        <v>417</v>
      </c>
      <c r="AI476" s="122">
        <v>2050</v>
      </c>
      <c r="AJ476" s="122" t="str">
        <f t="shared" si="397"/>
        <v>Sea</v>
      </c>
      <c r="AK476" s="122" t="str">
        <f t="shared" si="398"/>
        <v>Neo bulk</v>
      </c>
      <c r="AL476" s="122" t="str">
        <f t="shared" si="399"/>
        <v>Methanol</v>
      </c>
      <c r="AM476" s="132">
        <f t="shared" si="400"/>
        <v>0.89549936641626593</v>
      </c>
    </row>
    <row r="477" spans="33:39" x14ac:dyDescent="0.35">
      <c r="AG477" s="122" t="s">
        <v>419</v>
      </c>
      <c r="AH477" s="122" t="s">
        <v>418</v>
      </c>
      <c r="AI477" s="122">
        <v>2050</v>
      </c>
      <c r="AJ477" s="122" t="str">
        <f>A48</f>
        <v>Sea</v>
      </c>
      <c r="AK477" s="122" t="str">
        <f t="shared" ref="AK477:AL477" si="401">B48</f>
        <v>Dry bulk</v>
      </c>
      <c r="AL477" s="122" t="str">
        <f t="shared" si="401"/>
        <v>HFO</v>
      </c>
      <c r="AM477" s="132">
        <f>AD48</f>
        <v>1.121361115848801</v>
      </c>
    </row>
    <row r="478" spans="33:39" x14ac:dyDescent="0.35">
      <c r="AG478" s="122" t="s">
        <v>419</v>
      </c>
      <c r="AH478" s="122" t="s">
        <v>418</v>
      </c>
      <c r="AI478" s="122">
        <v>2050</v>
      </c>
      <c r="AJ478" s="122" t="str">
        <f t="shared" ref="AJ478:AJ496" si="402">A49</f>
        <v>Sea</v>
      </c>
      <c r="AK478" s="122" t="str">
        <f t="shared" ref="AK478:AK496" si="403">B49</f>
        <v>Dry bulk</v>
      </c>
      <c r="AL478" s="122" t="str">
        <f t="shared" ref="AL478:AL496" si="404">C49</f>
        <v>MGO</v>
      </c>
      <c r="AM478" s="132">
        <f t="shared" ref="AM478:AM496" si="405">AD49</f>
        <v>1.1948182044102178</v>
      </c>
    </row>
    <row r="479" spans="33:39" x14ac:dyDescent="0.35">
      <c r="AG479" s="122" t="s">
        <v>102</v>
      </c>
      <c r="AH479" s="122" t="s">
        <v>418</v>
      </c>
      <c r="AI479" s="122">
        <v>2050</v>
      </c>
      <c r="AJ479" s="122" t="str">
        <f t="shared" si="402"/>
        <v>Sea</v>
      </c>
      <c r="AK479" s="122" t="str">
        <f t="shared" si="403"/>
        <v>Dry bulk</v>
      </c>
      <c r="AL479" s="122" t="str">
        <f t="shared" si="404"/>
        <v>Hydrogen</v>
      </c>
      <c r="AM479" s="132">
        <f t="shared" si="405"/>
        <v>1.0897179160383792</v>
      </c>
    </row>
    <row r="480" spans="33:39" x14ac:dyDescent="0.35">
      <c r="AG480" s="122" t="s">
        <v>102</v>
      </c>
      <c r="AH480" s="122" t="s">
        <v>418</v>
      </c>
      <c r="AI480" s="122">
        <v>2050</v>
      </c>
      <c r="AJ480" s="122" t="str">
        <f t="shared" si="402"/>
        <v>Sea</v>
      </c>
      <c r="AK480" s="122" t="str">
        <f t="shared" si="403"/>
        <v>Dry bulk</v>
      </c>
      <c r="AL480" s="122" t="str">
        <f t="shared" si="404"/>
        <v>Ammonia</v>
      </c>
      <c r="AM480" s="132">
        <f t="shared" si="405"/>
        <v>1.0996499344184461</v>
      </c>
    </row>
    <row r="481" spans="33:39" x14ac:dyDescent="0.35">
      <c r="AG481" s="122" t="s">
        <v>102</v>
      </c>
      <c r="AH481" s="122" t="s">
        <v>418</v>
      </c>
      <c r="AI481" s="122">
        <v>2050</v>
      </c>
      <c r="AJ481" s="122" t="str">
        <f t="shared" si="402"/>
        <v>Sea</v>
      </c>
      <c r="AK481" s="122" t="str">
        <f t="shared" si="403"/>
        <v>Dry bulk</v>
      </c>
      <c r="AL481" s="122" t="str">
        <f t="shared" si="404"/>
        <v>Methanol</v>
      </c>
      <c r="AM481" s="132">
        <f t="shared" si="405"/>
        <v>1.0979389047222459</v>
      </c>
    </row>
    <row r="482" spans="33:39" x14ac:dyDescent="0.35">
      <c r="AG482" s="122" t="s">
        <v>419</v>
      </c>
      <c r="AH482" s="122" t="s">
        <v>418</v>
      </c>
      <c r="AI482" s="122">
        <v>2050</v>
      </c>
      <c r="AJ482" s="122" t="str">
        <f t="shared" si="402"/>
        <v>Sea</v>
      </c>
      <c r="AK482" s="122" t="str">
        <f t="shared" si="403"/>
        <v>Container</v>
      </c>
      <c r="AL482" s="122" t="str">
        <f t="shared" si="404"/>
        <v>HFO</v>
      </c>
      <c r="AM482" s="132">
        <f t="shared" si="405"/>
        <v>1.1109273438244194</v>
      </c>
    </row>
    <row r="483" spans="33:39" x14ac:dyDescent="0.35">
      <c r="AG483" s="122" t="s">
        <v>419</v>
      </c>
      <c r="AH483" s="122" t="s">
        <v>418</v>
      </c>
      <c r="AI483" s="122">
        <v>2050</v>
      </c>
      <c r="AJ483" s="122" t="str">
        <f t="shared" si="402"/>
        <v>Sea</v>
      </c>
      <c r="AK483" s="122" t="str">
        <f t="shared" si="403"/>
        <v>Container</v>
      </c>
      <c r="AL483" s="122" t="str">
        <f t="shared" si="404"/>
        <v>MGO</v>
      </c>
      <c r="AM483" s="132">
        <f t="shared" si="405"/>
        <v>1.1824678330342591</v>
      </c>
    </row>
    <row r="484" spans="33:39" x14ac:dyDescent="0.35">
      <c r="AG484" s="122" t="s">
        <v>102</v>
      </c>
      <c r="AH484" s="122" t="s">
        <v>418</v>
      </c>
      <c r="AI484" s="122">
        <v>2050</v>
      </c>
      <c r="AJ484" s="122" t="str">
        <f t="shared" si="402"/>
        <v>Sea</v>
      </c>
      <c r="AK484" s="122" t="str">
        <f t="shared" si="403"/>
        <v>Container</v>
      </c>
      <c r="AL484" s="122" t="str">
        <f t="shared" si="404"/>
        <v>Hydrogen</v>
      </c>
      <c r="AM484" s="132">
        <f t="shared" si="405"/>
        <v>1.0860332796047107</v>
      </c>
    </row>
    <row r="485" spans="33:39" x14ac:dyDescent="0.35">
      <c r="AG485" s="122" t="s">
        <v>102</v>
      </c>
      <c r="AH485" s="122" t="s">
        <v>418</v>
      </c>
      <c r="AI485" s="122">
        <v>2050</v>
      </c>
      <c r="AJ485" s="122" t="str">
        <f t="shared" si="402"/>
        <v>Sea</v>
      </c>
      <c r="AK485" s="122" t="str">
        <f t="shared" si="403"/>
        <v>Container</v>
      </c>
      <c r="AL485" s="122" t="str">
        <f t="shared" si="404"/>
        <v>Ammonia</v>
      </c>
      <c r="AM485" s="132">
        <f t="shared" si="405"/>
        <v>1.0956215584470046</v>
      </c>
    </row>
    <row r="486" spans="33:39" x14ac:dyDescent="0.35">
      <c r="AG486" s="122" t="s">
        <v>102</v>
      </c>
      <c r="AH486" s="122" t="s">
        <v>418</v>
      </c>
      <c r="AI486" s="122">
        <v>2050</v>
      </c>
      <c r="AJ486" s="122" t="str">
        <f t="shared" si="402"/>
        <v>Sea</v>
      </c>
      <c r="AK486" s="122" t="str">
        <f t="shared" si="403"/>
        <v>Container</v>
      </c>
      <c r="AL486" s="122" t="str">
        <f t="shared" si="404"/>
        <v>Methanol</v>
      </c>
      <c r="AM486" s="132">
        <f t="shared" si="405"/>
        <v>1.0948725875446259</v>
      </c>
    </row>
    <row r="487" spans="33:39" x14ac:dyDescent="0.35">
      <c r="AG487" s="122" t="s">
        <v>419</v>
      </c>
      <c r="AH487" s="122" t="s">
        <v>418</v>
      </c>
      <c r="AI487" s="122">
        <v>2050</v>
      </c>
      <c r="AJ487" s="122" t="str">
        <f t="shared" si="402"/>
        <v>Sea</v>
      </c>
      <c r="AK487" s="122" t="str">
        <f t="shared" si="403"/>
        <v>Break bulk</v>
      </c>
      <c r="AL487" s="122" t="str">
        <f t="shared" si="404"/>
        <v>HFO</v>
      </c>
      <c r="AM487" s="132">
        <f t="shared" si="405"/>
        <v>1.1214015633186263</v>
      </c>
    </row>
    <row r="488" spans="33:39" x14ac:dyDescent="0.35">
      <c r="AG488" s="122" t="s">
        <v>419</v>
      </c>
      <c r="AH488" s="122" t="s">
        <v>418</v>
      </c>
      <c r="AI488" s="122">
        <v>2050</v>
      </c>
      <c r="AJ488" s="122" t="str">
        <f t="shared" si="402"/>
        <v>Sea</v>
      </c>
      <c r="AK488" s="122" t="str">
        <f t="shared" si="403"/>
        <v>Break bulk</v>
      </c>
      <c r="AL488" s="122" t="str">
        <f t="shared" si="404"/>
        <v>MGO</v>
      </c>
      <c r="AM488" s="132">
        <f t="shared" si="405"/>
        <v>1.1948649232150734</v>
      </c>
    </row>
    <row r="489" spans="33:39" x14ac:dyDescent="0.35">
      <c r="AG489" s="122" t="s">
        <v>102</v>
      </c>
      <c r="AH489" s="122" t="s">
        <v>418</v>
      </c>
      <c r="AI489" s="122">
        <v>2050</v>
      </c>
      <c r="AJ489" s="122" t="str">
        <f t="shared" si="402"/>
        <v>Sea</v>
      </c>
      <c r="AK489" s="122" t="str">
        <f t="shared" si="403"/>
        <v>Break bulk</v>
      </c>
      <c r="AL489" s="122" t="str">
        <f t="shared" si="404"/>
        <v>Hydrogen</v>
      </c>
      <c r="AM489" s="132">
        <f t="shared" si="405"/>
        <v>1.0897337408738921</v>
      </c>
    </row>
    <row r="490" spans="33:39" x14ac:dyDescent="0.35">
      <c r="AG490" s="122" t="s">
        <v>102</v>
      </c>
      <c r="AH490" s="122" t="s">
        <v>418</v>
      </c>
      <c r="AI490" s="122">
        <v>2050</v>
      </c>
      <c r="AJ490" s="122" t="str">
        <f t="shared" si="402"/>
        <v>Sea</v>
      </c>
      <c r="AK490" s="122" t="str">
        <f t="shared" si="403"/>
        <v>Break bulk</v>
      </c>
      <c r="AL490" s="122" t="str">
        <f t="shared" si="404"/>
        <v>Ammonia</v>
      </c>
      <c r="AM490" s="132">
        <f t="shared" si="405"/>
        <v>1.0996669175860081</v>
      </c>
    </row>
    <row r="491" spans="33:39" x14ac:dyDescent="0.35">
      <c r="AG491" s="122" t="s">
        <v>102</v>
      </c>
      <c r="AH491" s="122" t="s">
        <v>418</v>
      </c>
      <c r="AI491" s="122">
        <v>2050</v>
      </c>
      <c r="AJ491" s="122" t="str">
        <f t="shared" si="402"/>
        <v>Sea</v>
      </c>
      <c r="AK491" s="122" t="str">
        <f t="shared" si="403"/>
        <v>Break bulk</v>
      </c>
      <c r="AL491" s="122" t="str">
        <f t="shared" si="404"/>
        <v>Methanol</v>
      </c>
      <c r="AM491" s="132">
        <f t="shared" si="405"/>
        <v>1.0979510248473168</v>
      </c>
    </row>
    <row r="492" spans="33:39" x14ac:dyDescent="0.35">
      <c r="AG492" s="122" t="s">
        <v>419</v>
      </c>
      <c r="AH492" s="122" t="s">
        <v>418</v>
      </c>
      <c r="AI492" s="122">
        <v>2050</v>
      </c>
      <c r="AJ492" s="122" t="str">
        <f t="shared" si="402"/>
        <v>Sea</v>
      </c>
      <c r="AK492" s="122" t="str">
        <f t="shared" si="403"/>
        <v>Neo bulk</v>
      </c>
      <c r="AL492" s="122" t="str">
        <f t="shared" si="404"/>
        <v>HFO</v>
      </c>
      <c r="AM492" s="132">
        <f t="shared" si="405"/>
        <v>1.1214711527819601</v>
      </c>
    </row>
    <row r="493" spans="33:39" x14ac:dyDescent="0.35">
      <c r="AG493" s="122" t="s">
        <v>419</v>
      </c>
      <c r="AH493" s="122" t="s">
        <v>418</v>
      </c>
      <c r="AI493" s="122">
        <v>2050</v>
      </c>
      <c r="AJ493" s="122" t="str">
        <f t="shared" si="402"/>
        <v>Sea</v>
      </c>
      <c r="AK493" s="122" t="str">
        <f t="shared" si="403"/>
        <v>Neo bulk</v>
      </c>
      <c r="AL493" s="122" t="str">
        <f t="shared" si="404"/>
        <v>MGO</v>
      </c>
      <c r="AM493" s="132">
        <f t="shared" si="405"/>
        <v>1.1949452820168729</v>
      </c>
    </row>
    <row r="494" spans="33:39" x14ac:dyDescent="0.35">
      <c r="AG494" s="122" t="s">
        <v>102</v>
      </c>
      <c r="AH494" s="122" t="s">
        <v>418</v>
      </c>
      <c r="AI494" s="122">
        <v>2050</v>
      </c>
      <c r="AJ494" s="122" t="str">
        <f t="shared" si="402"/>
        <v>Sea</v>
      </c>
      <c r="AK494" s="122" t="str">
        <f t="shared" si="403"/>
        <v>Neo bulk</v>
      </c>
      <c r="AL494" s="122" t="str">
        <f t="shared" si="404"/>
        <v>Hydrogen</v>
      </c>
      <c r="AM494" s="132">
        <f t="shared" si="405"/>
        <v>1.0897547987015856</v>
      </c>
    </row>
    <row r="495" spans="33:39" x14ac:dyDescent="0.35">
      <c r="AG495" s="122" t="s">
        <v>102</v>
      </c>
      <c r="AH495" s="122" t="s">
        <v>418</v>
      </c>
      <c r="AI495" s="122">
        <v>2050</v>
      </c>
      <c r="AJ495" s="122" t="str">
        <f t="shared" si="402"/>
        <v>Sea</v>
      </c>
      <c r="AK495" s="122" t="str">
        <f t="shared" si="403"/>
        <v>Neo bulk</v>
      </c>
      <c r="AL495" s="122" t="str">
        <f t="shared" si="404"/>
        <v>Ammonia</v>
      </c>
      <c r="AM495" s="132">
        <f t="shared" si="405"/>
        <v>1.0996902502534263</v>
      </c>
    </row>
    <row r="496" spans="33:39" x14ac:dyDescent="0.35">
      <c r="AG496" s="122" t="s">
        <v>102</v>
      </c>
      <c r="AH496" s="122" t="s">
        <v>418</v>
      </c>
      <c r="AI496" s="122">
        <v>2050</v>
      </c>
      <c r="AJ496" s="122" t="str">
        <f t="shared" si="402"/>
        <v>Sea</v>
      </c>
      <c r="AK496" s="122" t="str">
        <f t="shared" si="403"/>
        <v>Neo bulk</v>
      </c>
      <c r="AL496" s="122" t="str">
        <f t="shared" si="404"/>
        <v>Methanol</v>
      </c>
      <c r="AM496" s="132">
        <f t="shared" si="405"/>
        <v>1.0979693439847511</v>
      </c>
    </row>
    <row r="497" spans="39:39" x14ac:dyDescent="0.35">
      <c r="AM497" s="132"/>
    </row>
    <row r="498" spans="39:39" x14ac:dyDescent="0.35">
      <c r="AM498" s="132"/>
    </row>
    <row r="499" spans="39:39" x14ac:dyDescent="0.35">
      <c r="AM499" s="132"/>
    </row>
    <row r="500" spans="39:39" x14ac:dyDescent="0.35">
      <c r="AM500" s="132"/>
    </row>
    <row r="501" spans="39:39" x14ac:dyDescent="0.35">
      <c r="AM501" s="132"/>
    </row>
    <row r="502" spans="39:39" x14ac:dyDescent="0.35">
      <c r="AM502" s="132"/>
    </row>
    <row r="503" spans="39:39" x14ac:dyDescent="0.35">
      <c r="AM503" s="132"/>
    </row>
    <row r="504" spans="39:39" x14ac:dyDescent="0.35">
      <c r="AM504" s="132"/>
    </row>
    <row r="505" spans="39:39" x14ac:dyDescent="0.35">
      <c r="AM505" s="132"/>
    </row>
    <row r="506" spans="39:39" x14ac:dyDescent="0.35">
      <c r="AM506" s="132"/>
    </row>
    <row r="507" spans="39:39" x14ac:dyDescent="0.35">
      <c r="AM507" s="132"/>
    </row>
    <row r="508" spans="39:39" x14ac:dyDescent="0.35">
      <c r="AM508" s="132"/>
    </row>
    <row r="509" spans="39:39" x14ac:dyDescent="0.35">
      <c r="AM509" s="132"/>
    </row>
  </sheetData>
  <mergeCells count="12">
    <mergeCell ref="W3:AE3"/>
    <mergeCell ref="AB5:AD5"/>
    <mergeCell ref="AB23:AD23"/>
    <mergeCell ref="AB46:AD46"/>
    <mergeCell ref="I5:K5"/>
    <mergeCell ref="I23:K23"/>
    <mergeCell ref="I46:K46"/>
    <mergeCell ref="D3:K3"/>
    <mergeCell ref="M3:T3"/>
    <mergeCell ref="R5:T5"/>
    <mergeCell ref="S46:U46"/>
    <mergeCell ref="R23:T2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6E95E-7033-4499-8462-D5A0F8C9ED28}">
  <dimension ref="A1:FR676"/>
  <sheetViews>
    <sheetView topLeftCell="F646" zoomScale="112" zoomScaleNormal="55" workbookViewId="0">
      <selection activeCell="K655" sqref="K655"/>
    </sheetView>
  </sheetViews>
  <sheetFormatPr defaultColWidth="8.6328125" defaultRowHeight="14.5" x14ac:dyDescent="0.35"/>
  <cols>
    <col min="1" max="1" width="31.453125" style="122" bestFit="1" customWidth="1"/>
    <col min="2" max="2" width="18.6328125" style="122" bestFit="1" customWidth="1"/>
    <col min="3" max="3" width="19.453125" style="122" bestFit="1" customWidth="1"/>
    <col min="4" max="4" width="23.54296875" style="122" bestFit="1" customWidth="1"/>
    <col min="5" max="5" width="23.6328125" style="122" bestFit="1" customWidth="1"/>
    <col min="6" max="6" width="24" style="122" bestFit="1" customWidth="1"/>
    <col min="7" max="7" width="20.36328125" style="122" bestFit="1" customWidth="1"/>
    <col min="8" max="8" width="20.6328125" style="122" bestFit="1" customWidth="1"/>
    <col min="9" max="9" width="25.36328125" style="122" bestFit="1" customWidth="1"/>
    <col min="10" max="10" width="25.453125" style="122" bestFit="1" customWidth="1"/>
    <col min="11" max="11" width="25.54296875" style="122" bestFit="1" customWidth="1"/>
    <col min="12" max="12" width="21.36328125" style="122" bestFit="1" customWidth="1"/>
    <col min="13" max="13" width="21.6328125" style="122" bestFit="1" customWidth="1"/>
    <col min="14" max="15" width="26.36328125" style="122" bestFit="1" customWidth="1"/>
    <col min="16" max="16" width="26.453125" style="122" bestFit="1" customWidth="1"/>
    <col min="17" max="17" width="20.54296875" style="122" bestFit="1" customWidth="1"/>
    <col min="18" max="18" width="21.54296875" style="122" bestFit="1" customWidth="1"/>
    <col min="19" max="19" width="25.6328125" style="122" bestFit="1" customWidth="1"/>
    <col min="20" max="20" width="26" style="122" bestFit="1" customWidth="1"/>
    <col min="21" max="21" width="26.36328125" style="122" bestFit="1" customWidth="1"/>
    <col min="22" max="22" width="21.54296875" style="122" bestFit="1" customWidth="1"/>
    <col min="23" max="23" width="23.453125" style="122" bestFit="1" customWidth="1"/>
    <col min="24" max="24" width="21.6328125" style="122" bestFit="1" customWidth="1"/>
    <col min="25" max="25" width="24" style="122" bestFit="1" customWidth="1"/>
    <col min="26" max="26" width="24.453125" style="122" bestFit="1" customWidth="1"/>
    <col min="27" max="27" width="26.36328125" style="122" bestFit="1" customWidth="1"/>
    <col min="28" max="28" width="24.54296875" style="122" bestFit="1" customWidth="1"/>
    <col min="29" max="29" width="26.6328125" style="122" bestFit="1" customWidth="1"/>
    <col min="30" max="30" width="23" style="122" bestFit="1" customWidth="1"/>
    <col min="31" max="31" width="24.6328125" style="122" bestFit="1" customWidth="1"/>
    <col min="32" max="32" width="23.453125" style="122" bestFit="1" customWidth="1"/>
    <col min="33" max="33" width="25.54296875" style="122" bestFit="1" customWidth="1"/>
    <col min="34" max="34" width="23.6328125" style="122" bestFit="1" customWidth="1"/>
    <col min="35" max="35" width="25.6328125" style="122" bestFit="1" customWidth="1"/>
    <col min="36" max="36" width="24.36328125" style="122" bestFit="1" customWidth="1"/>
    <col min="37" max="37" width="26.453125" style="122" bestFit="1" customWidth="1"/>
    <col min="38" max="38" width="23.453125" style="122" bestFit="1" customWidth="1"/>
    <col min="39" max="39" width="25.453125" style="122" bestFit="1" customWidth="1"/>
    <col min="40" max="40" width="23.6328125" style="122" bestFit="1" customWidth="1"/>
    <col min="41" max="41" width="26.36328125" style="122" bestFit="1" customWidth="1"/>
    <col min="42" max="42" width="22.453125" style="122" bestFit="1" customWidth="1"/>
    <col min="43" max="43" width="22.6328125" style="122" bestFit="1" customWidth="1"/>
    <col min="44" max="44" width="25" style="122" bestFit="1" customWidth="1"/>
    <col min="45" max="45" width="25.453125" style="122" bestFit="1" customWidth="1"/>
    <col min="46" max="46" width="25.6328125" style="122" bestFit="1" customWidth="1"/>
    <col min="47" max="47" width="27.6328125" style="122" bestFit="1" customWidth="1"/>
    <col min="48" max="48" width="24" style="122" bestFit="1" customWidth="1"/>
    <col min="49" max="49" width="24.453125" style="122" bestFit="1" customWidth="1"/>
    <col min="50" max="50" width="26.54296875" style="122" bestFit="1" customWidth="1"/>
    <col min="51" max="51" width="24.6328125" style="122" bestFit="1" customWidth="1"/>
    <col min="52" max="52" width="25.36328125" style="122" bestFit="1" customWidth="1"/>
    <col min="53" max="53" width="27.453125" style="122" bestFit="1" customWidth="1"/>
    <col min="54" max="54" width="24.453125" style="122" bestFit="1" customWidth="1"/>
    <col min="55" max="55" width="24.6328125" style="122" bestFit="1" customWidth="1"/>
    <col min="56" max="56" width="27.36328125" style="122" bestFit="1" customWidth="1"/>
    <col min="57" max="57" width="18.6328125" style="122" bestFit="1" customWidth="1"/>
    <col min="58" max="58" width="19.453125" style="122" bestFit="1" customWidth="1"/>
    <col min="59" max="59" width="23.54296875" style="122" bestFit="1" customWidth="1"/>
    <col min="60" max="60" width="23.6328125" style="122" bestFit="1" customWidth="1"/>
    <col min="61" max="61" width="24" style="122" bestFit="1" customWidth="1"/>
    <col min="62" max="62" width="20.36328125" style="122" bestFit="1" customWidth="1"/>
    <col min="63" max="63" width="20.6328125" style="122" bestFit="1" customWidth="1"/>
    <col min="64" max="64" width="25.36328125" style="122" bestFit="1" customWidth="1"/>
    <col min="65" max="65" width="25.453125" style="122" bestFit="1" customWidth="1"/>
    <col min="66" max="66" width="25.54296875" style="122" bestFit="1" customWidth="1"/>
    <col min="67" max="67" width="21.36328125" style="122" bestFit="1" customWidth="1"/>
    <col min="68" max="68" width="21.6328125" style="122" bestFit="1" customWidth="1"/>
    <col min="69" max="70" width="26.36328125" style="122" bestFit="1" customWidth="1"/>
    <col min="71" max="71" width="26.453125" style="122" bestFit="1" customWidth="1"/>
    <col min="72" max="72" width="20.54296875" style="122" bestFit="1" customWidth="1"/>
    <col min="73" max="73" width="21.54296875" style="122" bestFit="1" customWidth="1"/>
    <col min="74" max="74" width="25.6328125" style="122" bestFit="1" customWidth="1"/>
    <col min="75" max="75" width="26" style="122" bestFit="1" customWidth="1"/>
    <col min="76" max="76" width="26.36328125" style="122" bestFit="1" customWidth="1"/>
    <col min="77" max="77" width="21.54296875" style="122" bestFit="1" customWidth="1"/>
    <col min="78" max="78" width="23.453125" style="122" bestFit="1" customWidth="1"/>
    <col min="79" max="79" width="21.6328125" style="122" bestFit="1" customWidth="1"/>
    <col min="80" max="80" width="24" style="122" bestFit="1" customWidth="1"/>
    <col min="81" max="81" width="24.453125" style="122" bestFit="1" customWidth="1"/>
    <col min="82" max="82" width="26.36328125" style="122" bestFit="1" customWidth="1"/>
    <col min="83" max="83" width="24.54296875" style="122" bestFit="1" customWidth="1"/>
    <col min="84" max="84" width="26.6328125" style="122" bestFit="1" customWidth="1"/>
    <col min="85" max="85" width="23" style="122" bestFit="1" customWidth="1"/>
    <col min="86" max="86" width="24.6328125" style="122" bestFit="1" customWidth="1"/>
    <col min="87" max="87" width="23.453125" style="122" bestFit="1" customWidth="1"/>
    <col min="88" max="88" width="25.54296875" style="122" bestFit="1" customWidth="1"/>
    <col min="89" max="89" width="23.6328125" style="122" bestFit="1" customWidth="1"/>
    <col min="90" max="90" width="25.6328125" style="122" bestFit="1" customWidth="1"/>
    <col min="91" max="91" width="24.36328125" style="122" bestFit="1" customWidth="1"/>
    <col min="92" max="92" width="26.453125" style="122" bestFit="1" customWidth="1"/>
    <col min="93" max="93" width="23.453125" style="122" bestFit="1" customWidth="1"/>
    <col min="94" max="94" width="25.453125" style="122" bestFit="1" customWidth="1"/>
    <col min="95" max="95" width="23.6328125" style="122" bestFit="1" customWidth="1"/>
    <col min="96" max="96" width="26.36328125" style="122" bestFit="1" customWidth="1"/>
    <col min="97" max="97" width="22.453125" style="122" bestFit="1" customWidth="1"/>
    <col min="98" max="98" width="22.6328125" style="122" bestFit="1" customWidth="1"/>
    <col min="99" max="99" width="25" style="122" bestFit="1" customWidth="1"/>
    <col min="100" max="100" width="25.453125" style="122" bestFit="1" customWidth="1"/>
    <col min="101" max="101" width="25.6328125" style="122" bestFit="1" customWidth="1"/>
    <col min="102" max="102" width="27.6328125" style="122" bestFit="1" customWidth="1"/>
    <col min="103" max="103" width="24" style="122" bestFit="1" customWidth="1"/>
    <col min="104" max="104" width="24.453125" style="122" bestFit="1" customWidth="1"/>
    <col min="105" max="105" width="26.54296875" style="122" bestFit="1" customWidth="1"/>
    <col min="106" max="106" width="24.6328125" style="122" bestFit="1" customWidth="1"/>
    <col min="107" max="107" width="25.36328125" style="122" bestFit="1" customWidth="1"/>
    <col min="108" max="108" width="27.453125" style="122" bestFit="1" customWidth="1"/>
    <col min="109" max="109" width="24.453125" style="122" bestFit="1" customWidth="1"/>
    <col min="110" max="110" width="24.6328125" style="122" bestFit="1" customWidth="1"/>
    <col min="111" max="111" width="27.36328125" style="122" bestFit="1" customWidth="1"/>
    <col min="112" max="112" width="18.6328125" style="122" bestFit="1" customWidth="1"/>
    <col min="113" max="113" width="19.453125" style="122" bestFit="1" customWidth="1"/>
    <col min="114" max="114" width="23.54296875" style="122" bestFit="1" customWidth="1"/>
    <col min="115" max="115" width="23.6328125" style="122" bestFit="1" customWidth="1"/>
    <col min="116" max="116" width="24" style="122" bestFit="1" customWidth="1"/>
    <col min="117" max="117" width="20.36328125" style="122" bestFit="1" customWidth="1"/>
    <col min="118" max="118" width="20.6328125" style="122" bestFit="1" customWidth="1"/>
    <col min="119" max="119" width="25.36328125" style="122" bestFit="1" customWidth="1"/>
    <col min="120" max="120" width="25.453125" style="122" bestFit="1" customWidth="1"/>
    <col min="121" max="121" width="25.54296875" style="122" bestFit="1" customWidth="1"/>
    <col min="122" max="122" width="21.36328125" style="122" bestFit="1" customWidth="1"/>
    <col min="123" max="123" width="21.6328125" style="122" bestFit="1" customWidth="1"/>
    <col min="124" max="125" width="26.36328125" style="122" bestFit="1" customWidth="1"/>
    <col min="126" max="126" width="26.453125" style="122" bestFit="1" customWidth="1"/>
    <col min="127" max="127" width="20.54296875" style="122" bestFit="1" customWidth="1"/>
    <col min="128" max="128" width="21.54296875" style="122" bestFit="1" customWidth="1"/>
    <col min="129" max="129" width="25.6328125" style="122" bestFit="1" customWidth="1"/>
    <col min="130" max="130" width="26" style="122" bestFit="1" customWidth="1"/>
    <col min="131" max="131" width="26.36328125" style="122" bestFit="1" customWidth="1"/>
    <col min="132" max="132" width="21.54296875" style="122" bestFit="1" customWidth="1"/>
    <col min="133" max="133" width="23.453125" style="122" bestFit="1" customWidth="1"/>
    <col min="134" max="134" width="21.6328125" style="122" bestFit="1" customWidth="1"/>
    <col min="135" max="135" width="24" style="122" bestFit="1" customWidth="1"/>
    <col min="136" max="136" width="24.453125" style="122" bestFit="1" customWidth="1"/>
    <col min="137" max="137" width="26.36328125" style="122" bestFit="1" customWidth="1"/>
    <col min="138" max="138" width="24.54296875" style="122" bestFit="1" customWidth="1"/>
    <col min="139" max="139" width="26.6328125" style="122" bestFit="1" customWidth="1"/>
    <col min="140" max="140" width="23" style="122" bestFit="1" customWidth="1"/>
    <col min="141" max="141" width="24.6328125" style="122" bestFit="1" customWidth="1"/>
    <col min="142" max="142" width="23.453125" style="122" bestFit="1" customWidth="1"/>
    <col min="143" max="143" width="25.54296875" style="122" bestFit="1" customWidth="1"/>
    <col min="144" max="144" width="23.6328125" style="122" bestFit="1" customWidth="1"/>
    <col min="145" max="145" width="25.6328125" style="122" bestFit="1" customWidth="1"/>
    <col min="146" max="146" width="24.36328125" style="122" bestFit="1" customWidth="1"/>
    <col min="147" max="147" width="26.453125" style="122" bestFit="1" customWidth="1"/>
    <col min="148" max="148" width="23.453125" style="122" bestFit="1" customWidth="1"/>
    <col min="149" max="149" width="25.453125" style="122" bestFit="1" customWidth="1"/>
    <col min="150" max="150" width="23.6328125" style="122" bestFit="1" customWidth="1"/>
    <col min="151" max="151" width="26.36328125" style="122" bestFit="1" customWidth="1"/>
    <col min="152" max="152" width="22.453125" style="122" bestFit="1" customWidth="1"/>
    <col min="153" max="153" width="22.6328125" style="122" bestFit="1" customWidth="1"/>
    <col min="154" max="154" width="25" style="122" bestFit="1" customWidth="1"/>
    <col min="155" max="155" width="25.453125" style="122" bestFit="1" customWidth="1"/>
    <col min="156" max="156" width="25.6328125" style="122" bestFit="1" customWidth="1"/>
    <col min="157" max="157" width="27.6328125" style="122" bestFit="1" customWidth="1"/>
    <col min="158" max="158" width="24" style="122" bestFit="1" customWidth="1"/>
    <col min="159" max="159" width="24.453125" style="122" bestFit="1" customWidth="1"/>
    <col min="160" max="160" width="26.54296875" style="122" bestFit="1" customWidth="1"/>
    <col min="161" max="161" width="24.6328125" style="122" bestFit="1" customWidth="1"/>
    <col min="162" max="162" width="25.36328125" style="122" bestFit="1" customWidth="1"/>
    <col min="163" max="163" width="27.453125" style="122" bestFit="1" customWidth="1"/>
    <col min="164" max="164" width="24.453125" style="122" bestFit="1" customWidth="1"/>
    <col min="165" max="165" width="24.6328125" style="122" bestFit="1" customWidth="1"/>
    <col min="166" max="166" width="27.36328125" style="122" bestFit="1" customWidth="1"/>
    <col min="167" max="16384" width="8.6328125" style="122"/>
  </cols>
  <sheetData>
    <row r="1" spans="1:174" x14ac:dyDescent="0.35">
      <c r="A1" s="129" t="s">
        <v>393</v>
      </c>
    </row>
    <row r="4" spans="1:174" x14ac:dyDescent="0.35">
      <c r="B4" s="147">
        <v>2023</v>
      </c>
      <c r="C4" s="147"/>
      <c r="D4" s="147"/>
      <c r="E4" s="147"/>
      <c r="F4" s="147"/>
      <c r="G4" s="147"/>
      <c r="H4" s="147"/>
      <c r="I4" s="147"/>
      <c r="J4" s="147"/>
      <c r="K4" s="147"/>
      <c r="L4" s="147"/>
      <c r="M4" s="147"/>
      <c r="N4" s="147"/>
      <c r="O4" s="147"/>
      <c r="P4" s="147"/>
      <c r="Q4" s="147"/>
      <c r="R4" s="147"/>
      <c r="S4" s="147"/>
      <c r="T4" s="147"/>
      <c r="U4" s="147"/>
      <c r="V4" s="147"/>
      <c r="W4" s="147"/>
      <c r="X4" s="147"/>
      <c r="Y4" s="147"/>
      <c r="Z4" s="147"/>
      <c r="AA4" s="147"/>
      <c r="AB4" s="147"/>
      <c r="AC4" s="147"/>
      <c r="AD4" s="147"/>
      <c r="AE4" s="147"/>
      <c r="AF4" s="147"/>
      <c r="AG4" s="147"/>
      <c r="AH4" s="147"/>
      <c r="AI4" s="147"/>
      <c r="AJ4" s="147"/>
      <c r="AK4" s="147"/>
      <c r="AL4" s="147"/>
      <c r="AM4" s="147"/>
      <c r="AN4" s="147"/>
      <c r="AO4" s="147"/>
      <c r="AP4" s="147"/>
      <c r="AQ4" s="147"/>
      <c r="AR4" s="147"/>
      <c r="AS4" s="147"/>
      <c r="AT4" s="147"/>
      <c r="AU4" s="147"/>
      <c r="AV4" s="147"/>
      <c r="AW4" s="147"/>
      <c r="AX4" s="147"/>
      <c r="AY4" s="147"/>
      <c r="AZ4" s="147"/>
      <c r="BA4" s="147"/>
      <c r="BB4" s="147"/>
      <c r="BC4" s="147"/>
      <c r="BD4" s="147"/>
      <c r="BE4" s="147">
        <v>2034</v>
      </c>
      <c r="BF4" s="147"/>
      <c r="BG4" s="147"/>
      <c r="BH4" s="147"/>
      <c r="BI4" s="147"/>
      <c r="BJ4" s="147"/>
      <c r="BK4" s="147"/>
      <c r="BL4" s="147"/>
      <c r="BM4" s="147"/>
      <c r="BN4" s="147"/>
      <c r="BO4" s="147"/>
      <c r="BP4" s="147"/>
      <c r="BQ4" s="147"/>
      <c r="BR4" s="147"/>
      <c r="BS4" s="147"/>
      <c r="BT4" s="147"/>
      <c r="BU4" s="147"/>
      <c r="BV4" s="147"/>
      <c r="BW4" s="147"/>
      <c r="BX4" s="147"/>
      <c r="BY4" s="147"/>
      <c r="BZ4" s="147"/>
      <c r="CA4" s="147"/>
      <c r="CB4" s="147"/>
      <c r="CC4" s="147"/>
      <c r="CD4" s="147"/>
      <c r="CE4" s="147"/>
      <c r="CF4" s="147"/>
      <c r="CG4" s="147"/>
      <c r="CH4" s="147"/>
      <c r="CI4" s="147"/>
      <c r="CJ4" s="147"/>
      <c r="CK4" s="147"/>
      <c r="CL4" s="147"/>
      <c r="CM4" s="147"/>
      <c r="CN4" s="147"/>
      <c r="CO4" s="147"/>
      <c r="CP4" s="147"/>
      <c r="CQ4" s="147"/>
      <c r="CR4" s="147"/>
      <c r="CS4" s="147"/>
      <c r="CT4" s="147"/>
      <c r="CU4" s="147"/>
      <c r="CV4" s="147"/>
      <c r="CW4" s="147"/>
      <c r="CX4" s="147"/>
      <c r="CY4" s="147"/>
      <c r="CZ4" s="147"/>
      <c r="DA4" s="147"/>
      <c r="DB4" s="147"/>
      <c r="DC4" s="147"/>
      <c r="DD4" s="147"/>
      <c r="DE4" s="147"/>
      <c r="DF4" s="147"/>
      <c r="DG4" s="147"/>
      <c r="DH4" s="147">
        <v>2050</v>
      </c>
      <c r="DI4" s="147"/>
      <c r="DJ4" s="147"/>
      <c r="DK4" s="147"/>
      <c r="DL4" s="147"/>
      <c r="DM4" s="147"/>
      <c r="DN4" s="147"/>
      <c r="DO4" s="147"/>
      <c r="DP4" s="147"/>
      <c r="DQ4" s="147"/>
      <c r="DR4" s="147"/>
      <c r="DS4" s="147"/>
      <c r="DT4" s="147"/>
      <c r="DU4" s="147"/>
      <c r="DV4" s="147"/>
      <c r="DW4" s="147"/>
      <c r="DX4" s="147"/>
      <c r="DY4" s="147"/>
      <c r="DZ4" s="147"/>
      <c r="EA4" s="147"/>
      <c r="EB4" s="147"/>
      <c r="EC4" s="147"/>
      <c r="ED4" s="147"/>
      <c r="EE4" s="147"/>
      <c r="EF4" s="147"/>
      <c r="EG4" s="147"/>
      <c r="EH4" s="147"/>
      <c r="EI4" s="147"/>
      <c r="EJ4" s="147"/>
      <c r="EK4" s="147"/>
      <c r="EL4" s="147"/>
      <c r="EM4" s="147"/>
      <c r="EN4" s="147"/>
      <c r="EO4" s="147"/>
      <c r="EP4" s="147"/>
      <c r="EQ4" s="147"/>
      <c r="ER4" s="147"/>
      <c r="ES4" s="147"/>
      <c r="ET4" s="147"/>
      <c r="EU4" s="147"/>
      <c r="EV4" s="147"/>
      <c r="EW4" s="147"/>
      <c r="EX4" s="147"/>
      <c r="EY4" s="147"/>
      <c r="EZ4" s="147"/>
      <c r="FA4" s="147"/>
      <c r="FB4" s="147"/>
      <c r="FC4" s="147"/>
      <c r="FD4" s="147"/>
      <c r="FE4" s="147"/>
      <c r="FF4" s="147"/>
      <c r="FG4" s="147"/>
      <c r="FH4" s="147"/>
      <c r="FI4" s="147"/>
      <c r="FJ4" s="147"/>
    </row>
    <row r="5" spans="1:174" x14ac:dyDescent="0.35">
      <c r="B5" s="122" t="s">
        <v>374</v>
      </c>
      <c r="C5" s="122" t="s">
        <v>370</v>
      </c>
      <c r="D5" s="122" t="s">
        <v>323</v>
      </c>
      <c r="E5" s="122" t="s">
        <v>324</v>
      </c>
      <c r="F5" s="122" t="s">
        <v>325</v>
      </c>
      <c r="G5" s="122" t="s">
        <v>375</v>
      </c>
      <c r="H5" s="122" t="s">
        <v>371</v>
      </c>
      <c r="I5" s="122" t="s">
        <v>326</v>
      </c>
      <c r="J5" s="122" t="s">
        <v>327</v>
      </c>
      <c r="K5" s="122" t="s">
        <v>328</v>
      </c>
      <c r="L5" s="122" t="s">
        <v>376</v>
      </c>
      <c r="M5" s="122" t="s">
        <v>372</v>
      </c>
      <c r="N5" s="122" t="s">
        <v>329</v>
      </c>
      <c r="O5" s="122" t="s">
        <v>330</v>
      </c>
      <c r="P5" s="122" t="s">
        <v>331</v>
      </c>
      <c r="Q5" s="122" t="s">
        <v>377</v>
      </c>
      <c r="R5" s="122" t="s">
        <v>373</v>
      </c>
      <c r="S5" s="122" t="s">
        <v>332</v>
      </c>
      <c r="T5" s="122" t="s">
        <v>333</v>
      </c>
      <c r="U5" s="122" t="s">
        <v>334</v>
      </c>
      <c r="V5" s="122" t="s">
        <v>335</v>
      </c>
      <c r="W5" s="122" t="s">
        <v>336</v>
      </c>
      <c r="X5" s="122" t="s">
        <v>337</v>
      </c>
      <c r="Y5" s="122" t="s">
        <v>338</v>
      </c>
      <c r="Z5" s="122" t="s">
        <v>339</v>
      </c>
      <c r="AA5" s="122" t="s">
        <v>340</v>
      </c>
      <c r="AB5" s="122" t="s">
        <v>341</v>
      </c>
      <c r="AC5" s="122" t="s">
        <v>342</v>
      </c>
      <c r="AD5" s="122" t="s">
        <v>343</v>
      </c>
      <c r="AE5" s="122" t="s">
        <v>344</v>
      </c>
      <c r="AF5" s="122" t="s">
        <v>345</v>
      </c>
      <c r="AG5" s="122" t="s">
        <v>346</v>
      </c>
      <c r="AH5" s="122" t="s">
        <v>347</v>
      </c>
      <c r="AI5" s="122" t="s">
        <v>348</v>
      </c>
      <c r="AJ5" s="122" t="s">
        <v>349</v>
      </c>
      <c r="AK5" s="122" t="s">
        <v>350</v>
      </c>
      <c r="AL5" s="122" t="s">
        <v>351</v>
      </c>
      <c r="AM5" s="122" t="s">
        <v>352</v>
      </c>
      <c r="AN5" s="122" t="s">
        <v>353</v>
      </c>
      <c r="AO5" s="122" t="s">
        <v>354</v>
      </c>
      <c r="AP5" s="122" t="s">
        <v>355</v>
      </c>
      <c r="AQ5" s="122" t="s">
        <v>356</v>
      </c>
      <c r="AR5" s="122" t="s">
        <v>357</v>
      </c>
      <c r="AS5" s="122" t="s">
        <v>358</v>
      </c>
      <c r="AT5" s="122" t="s">
        <v>359</v>
      </c>
      <c r="AU5" s="122" t="s">
        <v>360</v>
      </c>
      <c r="AV5" s="122" t="s">
        <v>361</v>
      </c>
      <c r="AW5" s="122" t="s">
        <v>362</v>
      </c>
      <c r="AX5" s="122" t="s">
        <v>363</v>
      </c>
      <c r="AY5" s="122" t="s">
        <v>364</v>
      </c>
      <c r="AZ5" s="122" t="s">
        <v>365</v>
      </c>
      <c r="BA5" s="122" t="s">
        <v>366</v>
      </c>
      <c r="BB5" s="122" t="s">
        <v>367</v>
      </c>
      <c r="BC5" s="122" t="s">
        <v>368</v>
      </c>
      <c r="BD5" s="122" t="s">
        <v>369</v>
      </c>
      <c r="BE5" s="122" t="s">
        <v>374</v>
      </c>
      <c r="BF5" s="122" t="s">
        <v>370</v>
      </c>
      <c r="BG5" s="122" t="s">
        <v>323</v>
      </c>
      <c r="BH5" s="122" t="s">
        <v>324</v>
      </c>
      <c r="BI5" s="122" t="s">
        <v>325</v>
      </c>
      <c r="BJ5" s="122" t="s">
        <v>375</v>
      </c>
      <c r="BK5" s="122" t="s">
        <v>371</v>
      </c>
      <c r="BL5" s="122" t="s">
        <v>326</v>
      </c>
      <c r="BM5" s="122" t="s">
        <v>327</v>
      </c>
      <c r="BN5" s="122" t="s">
        <v>328</v>
      </c>
      <c r="BO5" s="122" t="s">
        <v>376</v>
      </c>
      <c r="BP5" s="122" t="s">
        <v>372</v>
      </c>
      <c r="BQ5" s="122" t="s">
        <v>329</v>
      </c>
      <c r="BR5" s="122" t="s">
        <v>330</v>
      </c>
      <c r="BS5" s="122" t="s">
        <v>331</v>
      </c>
      <c r="BT5" s="122" t="s">
        <v>377</v>
      </c>
      <c r="BU5" s="122" t="s">
        <v>373</v>
      </c>
      <c r="BV5" s="122" t="s">
        <v>332</v>
      </c>
      <c r="BW5" s="122" t="s">
        <v>333</v>
      </c>
      <c r="BX5" s="122" t="s">
        <v>334</v>
      </c>
      <c r="BY5" s="122" t="s">
        <v>335</v>
      </c>
      <c r="BZ5" s="122" t="s">
        <v>336</v>
      </c>
      <c r="CA5" s="122" t="s">
        <v>337</v>
      </c>
      <c r="CB5" s="122" t="s">
        <v>338</v>
      </c>
      <c r="CC5" s="122" t="s">
        <v>339</v>
      </c>
      <c r="CD5" s="122" t="s">
        <v>340</v>
      </c>
      <c r="CE5" s="122" t="s">
        <v>341</v>
      </c>
      <c r="CF5" s="122" t="s">
        <v>342</v>
      </c>
      <c r="CG5" s="122" t="s">
        <v>343</v>
      </c>
      <c r="CH5" s="122" t="s">
        <v>344</v>
      </c>
      <c r="CI5" s="122" t="s">
        <v>345</v>
      </c>
      <c r="CJ5" s="122" t="s">
        <v>346</v>
      </c>
      <c r="CK5" s="122" t="s">
        <v>347</v>
      </c>
      <c r="CL5" s="122" t="s">
        <v>348</v>
      </c>
      <c r="CM5" s="122" t="s">
        <v>349</v>
      </c>
      <c r="CN5" s="122" t="s">
        <v>350</v>
      </c>
      <c r="CO5" s="122" t="s">
        <v>351</v>
      </c>
      <c r="CP5" s="122" t="s">
        <v>352</v>
      </c>
      <c r="CQ5" s="122" t="s">
        <v>353</v>
      </c>
      <c r="CR5" s="122" t="s">
        <v>354</v>
      </c>
      <c r="CS5" s="122" t="s">
        <v>355</v>
      </c>
      <c r="CT5" s="122" t="s">
        <v>356</v>
      </c>
      <c r="CU5" s="122" t="s">
        <v>357</v>
      </c>
      <c r="CV5" s="122" t="s">
        <v>358</v>
      </c>
      <c r="CW5" s="122" t="s">
        <v>359</v>
      </c>
      <c r="CX5" s="122" t="s">
        <v>360</v>
      </c>
      <c r="CY5" s="122" t="s">
        <v>361</v>
      </c>
      <c r="CZ5" s="122" t="s">
        <v>362</v>
      </c>
      <c r="DA5" s="122" t="s">
        <v>363</v>
      </c>
      <c r="DB5" s="122" t="s">
        <v>364</v>
      </c>
      <c r="DC5" s="122" t="s">
        <v>365</v>
      </c>
      <c r="DD5" s="122" t="s">
        <v>366</v>
      </c>
      <c r="DE5" s="122" t="s">
        <v>367</v>
      </c>
      <c r="DF5" s="122" t="s">
        <v>368</v>
      </c>
      <c r="DG5" s="122" t="s">
        <v>369</v>
      </c>
      <c r="DH5" s="122" t="s">
        <v>374</v>
      </c>
      <c r="DI5" s="122" t="s">
        <v>370</v>
      </c>
      <c r="DJ5" s="122" t="s">
        <v>323</v>
      </c>
      <c r="DK5" s="122" t="s">
        <v>324</v>
      </c>
      <c r="DL5" s="122" t="s">
        <v>325</v>
      </c>
      <c r="DM5" s="122" t="s">
        <v>375</v>
      </c>
      <c r="DN5" s="122" t="s">
        <v>371</v>
      </c>
      <c r="DO5" s="122" t="s">
        <v>326</v>
      </c>
      <c r="DP5" s="122" t="s">
        <v>327</v>
      </c>
      <c r="DQ5" s="122" t="s">
        <v>328</v>
      </c>
      <c r="DR5" s="122" t="s">
        <v>376</v>
      </c>
      <c r="DS5" s="122" t="s">
        <v>372</v>
      </c>
      <c r="DT5" s="122" t="s">
        <v>329</v>
      </c>
      <c r="DU5" s="122" t="s">
        <v>330</v>
      </c>
      <c r="DV5" s="122" t="s">
        <v>331</v>
      </c>
      <c r="DW5" s="122" t="s">
        <v>377</v>
      </c>
      <c r="DX5" s="122" t="s">
        <v>373</v>
      </c>
      <c r="DY5" s="122" t="s">
        <v>332</v>
      </c>
      <c r="DZ5" s="122" t="s">
        <v>333</v>
      </c>
      <c r="EA5" s="122" t="s">
        <v>334</v>
      </c>
      <c r="EB5" s="122" t="s">
        <v>335</v>
      </c>
      <c r="EC5" s="122" t="s">
        <v>336</v>
      </c>
      <c r="ED5" s="122" t="s">
        <v>337</v>
      </c>
      <c r="EE5" s="122" t="s">
        <v>338</v>
      </c>
      <c r="EF5" s="122" t="s">
        <v>339</v>
      </c>
      <c r="EG5" s="122" t="s">
        <v>340</v>
      </c>
      <c r="EH5" s="122" t="s">
        <v>341</v>
      </c>
      <c r="EI5" s="122" t="s">
        <v>342</v>
      </c>
      <c r="EJ5" s="122" t="s">
        <v>343</v>
      </c>
      <c r="EK5" s="122" t="s">
        <v>344</v>
      </c>
      <c r="EL5" s="122" t="s">
        <v>345</v>
      </c>
      <c r="EM5" s="122" t="s">
        <v>346</v>
      </c>
      <c r="EN5" s="122" t="s">
        <v>347</v>
      </c>
      <c r="EO5" s="122" t="s">
        <v>348</v>
      </c>
      <c r="EP5" s="122" t="s">
        <v>349</v>
      </c>
      <c r="EQ5" s="122" t="s">
        <v>350</v>
      </c>
      <c r="ER5" s="122" t="s">
        <v>351</v>
      </c>
      <c r="ES5" s="122" t="s">
        <v>352</v>
      </c>
      <c r="ET5" s="122" t="s">
        <v>353</v>
      </c>
      <c r="EU5" s="122" t="s">
        <v>354</v>
      </c>
      <c r="EV5" s="122" t="s">
        <v>355</v>
      </c>
      <c r="EW5" s="122" t="s">
        <v>356</v>
      </c>
      <c r="EX5" s="122" t="s">
        <v>357</v>
      </c>
      <c r="EY5" s="122" t="s">
        <v>358</v>
      </c>
      <c r="EZ5" s="122" t="s">
        <v>359</v>
      </c>
      <c r="FA5" s="122" t="s">
        <v>360</v>
      </c>
      <c r="FB5" s="122" t="s">
        <v>361</v>
      </c>
      <c r="FC5" s="122" t="s">
        <v>362</v>
      </c>
      <c r="FD5" s="122" t="s">
        <v>363</v>
      </c>
      <c r="FE5" s="122" t="s">
        <v>364</v>
      </c>
      <c r="FF5" s="122" t="s">
        <v>365</v>
      </c>
      <c r="FG5" s="122" t="s">
        <v>366</v>
      </c>
      <c r="FH5" s="122" t="s">
        <v>367</v>
      </c>
      <c r="FI5" s="122" t="s">
        <v>368</v>
      </c>
      <c r="FJ5" s="122" t="s">
        <v>369</v>
      </c>
    </row>
    <row r="6" spans="1:174" x14ac:dyDescent="0.35">
      <c r="A6" s="122" t="s">
        <v>18</v>
      </c>
      <c r="B6" s="125" t="e">
        <f>#REF!</f>
        <v>#REF!</v>
      </c>
      <c r="C6" s="124" t="e">
        <f>#REF!</f>
        <v>#REF!</v>
      </c>
      <c r="D6" s="124" t="e">
        <f>#REF!</f>
        <v>#REF!</v>
      </c>
      <c r="E6" s="124" t="e">
        <f>#REF!</f>
        <v>#REF!</v>
      </c>
      <c r="F6" s="124" t="e">
        <f>#REF!</f>
        <v>#REF!</v>
      </c>
      <c r="G6" s="122" t="e">
        <f>#REF!</f>
        <v>#REF!</v>
      </c>
      <c r="H6" s="124" t="e">
        <f>#REF!</f>
        <v>#REF!</v>
      </c>
      <c r="I6" s="124" t="e">
        <f>#REF!</f>
        <v>#REF!</v>
      </c>
      <c r="J6" s="124" t="e">
        <f>#REF!</f>
        <v>#REF!</v>
      </c>
      <c r="K6" s="124" t="e">
        <f>#REF!</f>
        <v>#REF!</v>
      </c>
      <c r="L6" s="124" t="e">
        <f>#REF!</f>
        <v>#REF!</v>
      </c>
      <c r="M6" s="124" t="e">
        <f>#REF!</f>
        <v>#REF!</v>
      </c>
      <c r="N6" s="124" t="e">
        <f>#REF!</f>
        <v>#REF!</v>
      </c>
      <c r="O6" s="124" t="e">
        <f>#REF!</f>
        <v>#REF!</v>
      </c>
      <c r="P6" s="124" t="e">
        <f>#REF!</f>
        <v>#REF!</v>
      </c>
      <c r="Q6" s="124" t="e">
        <f>#REF!</f>
        <v>#REF!</v>
      </c>
      <c r="R6" s="124" t="e">
        <f>#REF!</f>
        <v>#REF!</v>
      </c>
      <c r="S6" s="124" t="e">
        <f>#REF!</f>
        <v>#REF!</v>
      </c>
      <c r="T6" s="124" t="e">
        <f>#REF!</f>
        <v>#REF!</v>
      </c>
      <c r="U6" s="124" t="e">
        <f>#REF!</f>
        <v>#REF!</v>
      </c>
      <c r="V6" s="124" t="e">
        <f>#REF!</f>
        <v>#REF!</v>
      </c>
      <c r="W6" s="124" t="e">
        <f>#REF!</f>
        <v>#REF!</v>
      </c>
      <c r="X6" s="124" t="e">
        <f>#REF!</f>
        <v>#REF!</v>
      </c>
      <c r="Y6" s="124" t="e">
        <f>#REF!</f>
        <v>#REF!</v>
      </c>
      <c r="Z6" s="124" t="e">
        <f>#REF!</f>
        <v>#REF!</v>
      </c>
      <c r="AA6" s="124" t="e">
        <f>#REF!</f>
        <v>#REF!</v>
      </c>
      <c r="AB6" s="124" t="e">
        <f>#REF!</f>
        <v>#REF!</v>
      </c>
      <c r="AC6" s="124" t="e">
        <f>#REF!</f>
        <v>#REF!</v>
      </c>
      <c r="AD6" s="124" t="e">
        <f>#REF!</f>
        <v>#REF!</v>
      </c>
      <c r="AE6" s="124" t="e">
        <f>#REF!</f>
        <v>#REF!</v>
      </c>
      <c r="AF6" s="124" t="e">
        <f>#REF!</f>
        <v>#REF!</v>
      </c>
      <c r="AG6" s="124" t="e">
        <f>#REF!</f>
        <v>#REF!</v>
      </c>
      <c r="AH6" s="124" t="e">
        <f>#REF!</f>
        <v>#REF!</v>
      </c>
      <c r="AI6" s="124" t="e">
        <f>#REF!</f>
        <v>#REF!</v>
      </c>
      <c r="AJ6" s="124" t="e">
        <f>#REF!</f>
        <v>#REF!</v>
      </c>
      <c r="AK6" s="124" t="e">
        <f>#REF!</f>
        <v>#REF!</v>
      </c>
      <c r="AL6" s="124" t="e">
        <f>#REF!</f>
        <v>#REF!</v>
      </c>
      <c r="AM6" s="124" t="e">
        <f>#REF!</f>
        <v>#REF!</v>
      </c>
      <c r="AN6" s="124" t="e">
        <f>#REF!</f>
        <v>#REF!</v>
      </c>
      <c r="AO6" s="124" t="e">
        <f>#REF!</f>
        <v>#REF!</v>
      </c>
      <c r="AP6" s="124" t="e">
        <f>#REF!</f>
        <v>#REF!</v>
      </c>
      <c r="AQ6" s="124" t="e">
        <f>#REF!</f>
        <v>#REF!</v>
      </c>
      <c r="AR6" s="124" t="e">
        <f>#REF!</f>
        <v>#REF!</v>
      </c>
      <c r="AS6" s="124" t="e">
        <f>#REF!</f>
        <v>#REF!</v>
      </c>
      <c r="AT6" s="124" t="e">
        <f>#REF!</f>
        <v>#REF!</v>
      </c>
      <c r="AU6" s="124" t="e">
        <f>#REF!</f>
        <v>#REF!</v>
      </c>
      <c r="AV6" s="124" t="e">
        <f>#REF!</f>
        <v>#REF!</v>
      </c>
      <c r="AW6" s="124" t="e">
        <f>#REF!</f>
        <v>#REF!</v>
      </c>
      <c r="AX6" s="124" t="e">
        <f>#REF!</f>
        <v>#REF!</v>
      </c>
      <c r="AY6" s="124" t="e">
        <f>#REF!</f>
        <v>#REF!</v>
      </c>
      <c r="AZ6" s="124" t="e">
        <f>#REF!</f>
        <v>#REF!</v>
      </c>
      <c r="BA6" s="124" t="e">
        <f>#REF!</f>
        <v>#REF!</v>
      </c>
      <c r="BB6" s="124" t="e">
        <f>#REF!</f>
        <v>#REF!</v>
      </c>
      <c r="BC6" s="124" t="e">
        <f>#REF!</f>
        <v>#REF!</v>
      </c>
      <c r="BD6" s="124" t="e">
        <f>#REF!</f>
        <v>#REF!</v>
      </c>
      <c r="BE6" s="125" t="e">
        <f>#REF!</f>
        <v>#REF!</v>
      </c>
      <c r="BF6" s="124" t="e">
        <f>#REF!</f>
        <v>#REF!</v>
      </c>
      <c r="BG6" s="124" t="e">
        <f>#REF!</f>
        <v>#REF!</v>
      </c>
      <c r="BH6" s="124" t="e">
        <f>#REF!</f>
        <v>#REF!</v>
      </c>
      <c r="BI6" s="124" t="e">
        <f>#REF!</f>
        <v>#REF!</v>
      </c>
      <c r="BJ6" s="122" t="e">
        <f>#REF!</f>
        <v>#REF!</v>
      </c>
      <c r="BK6" s="124" t="e">
        <f>#REF!</f>
        <v>#REF!</v>
      </c>
      <c r="BL6" s="124" t="e">
        <f>#REF!</f>
        <v>#REF!</v>
      </c>
      <c r="BM6" s="124" t="e">
        <f>#REF!</f>
        <v>#REF!</v>
      </c>
      <c r="BN6" s="124" t="e">
        <f>#REF!</f>
        <v>#REF!</v>
      </c>
      <c r="BO6" s="124" t="e">
        <f>#REF!</f>
        <v>#REF!</v>
      </c>
      <c r="BP6" s="124" t="e">
        <f>#REF!</f>
        <v>#REF!</v>
      </c>
      <c r="BQ6" s="124" t="e">
        <f>#REF!</f>
        <v>#REF!</v>
      </c>
      <c r="BR6" s="124" t="e">
        <f>#REF!</f>
        <v>#REF!</v>
      </c>
      <c r="BS6" s="124" t="e">
        <f>#REF!</f>
        <v>#REF!</v>
      </c>
      <c r="BT6" s="124" t="e">
        <f>#REF!</f>
        <v>#REF!</v>
      </c>
      <c r="BU6" s="124" t="e">
        <f>#REF!</f>
        <v>#REF!</v>
      </c>
      <c r="BV6" s="124" t="e">
        <f>#REF!</f>
        <v>#REF!</v>
      </c>
      <c r="BW6" s="124" t="e">
        <f>#REF!</f>
        <v>#REF!</v>
      </c>
      <c r="BX6" s="124" t="e">
        <f>#REF!</f>
        <v>#REF!</v>
      </c>
      <c r="BY6" s="124" t="e">
        <f>#REF!</f>
        <v>#REF!</v>
      </c>
      <c r="BZ6" s="124" t="e">
        <f>#REF!</f>
        <v>#REF!</v>
      </c>
      <c r="CA6" s="124" t="e">
        <f>#REF!</f>
        <v>#REF!</v>
      </c>
      <c r="CB6" s="124" t="e">
        <f>#REF!</f>
        <v>#REF!</v>
      </c>
      <c r="CC6" s="124" t="e">
        <f>#REF!</f>
        <v>#REF!</v>
      </c>
      <c r="CD6" s="124" t="e">
        <f>#REF!</f>
        <v>#REF!</v>
      </c>
      <c r="CE6" s="124" t="e">
        <f>#REF!</f>
        <v>#REF!</v>
      </c>
      <c r="CF6" s="124" t="e">
        <f>#REF!</f>
        <v>#REF!</v>
      </c>
      <c r="CG6" s="124" t="e">
        <f>#REF!</f>
        <v>#REF!</v>
      </c>
      <c r="CH6" s="124" t="e">
        <f>#REF!</f>
        <v>#REF!</v>
      </c>
      <c r="CI6" s="124" t="e">
        <f>#REF!</f>
        <v>#REF!</v>
      </c>
      <c r="CJ6" s="124" t="e">
        <f>#REF!</f>
        <v>#REF!</v>
      </c>
      <c r="CK6" s="124" t="e">
        <f>#REF!</f>
        <v>#REF!</v>
      </c>
      <c r="CL6" s="124" t="e">
        <f>#REF!</f>
        <v>#REF!</v>
      </c>
      <c r="CM6" s="124" t="e">
        <f>#REF!</f>
        <v>#REF!</v>
      </c>
      <c r="CN6" s="124" t="e">
        <f>#REF!</f>
        <v>#REF!</v>
      </c>
      <c r="CO6" s="124" t="e">
        <f>#REF!</f>
        <v>#REF!</v>
      </c>
      <c r="CP6" s="124" t="e">
        <f>#REF!</f>
        <v>#REF!</v>
      </c>
      <c r="CQ6" s="124" t="e">
        <f>#REF!</f>
        <v>#REF!</v>
      </c>
      <c r="CR6" s="124" t="e">
        <f>#REF!</f>
        <v>#REF!</v>
      </c>
      <c r="CS6" s="124" t="e">
        <f>#REF!</f>
        <v>#REF!</v>
      </c>
      <c r="CT6" s="124" t="e">
        <f>#REF!</f>
        <v>#REF!</v>
      </c>
      <c r="CU6" s="124" t="e">
        <f>#REF!</f>
        <v>#REF!</v>
      </c>
      <c r="CV6" s="124" t="e">
        <f>#REF!</f>
        <v>#REF!</v>
      </c>
      <c r="CW6" s="124" t="e">
        <f>#REF!</f>
        <v>#REF!</v>
      </c>
      <c r="CX6" s="124" t="e">
        <f>#REF!</f>
        <v>#REF!</v>
      </c>
      <c r="CY6" s="124" t="e">
        <f>#REF!</f>
        <v>#REF!</v>
      </c>
      <c r="CZ6" s="124" t="e">
        <f>#REF!</f>
        <v>#REF!</v>
      </c>
      <c r="DA6" s="124" t="e">
        <f>#REF!</f>
        <v>#REF!</v>
      </c>
      <c r="DB6" s="124" t="e">
        <f>#REF!</f>
        <v>#REF!</v>
      </c>
      <c r="DC6" s="124" t="e">
        <f>#REF!</f>
        <v>#REF!</v>
      </c>
      <c r="DD6" s="124" t="e">
        <f>#REF!</f>
        <v>#REF!</v>
      </c>
      <c r="DE6" s="124" t="e">
        <f>#REF!</f>
        <v>#REF!</v>
      </c>
      <c r="DF6" s="124" t="e">
        <f>#REF!</f>
        <v>#REF!</v>
      </c>
      <c r="DG6" s="124" t="e">
        <f>#REF!</f>
        <v>#REF!</v>
      </c>
      <c r="DH6" s="125" t="e">
        <f>#REF!</f>
        <v>#REF!</v>
      </c>
      <c r="DI6" s="124" t="e">
        <f>#REF!</f>
        <v>#REF!</v>
      </c>
      <c r="DJ6" s="124" t="e">
        <f>#REF!</f>
        <v>#REF!</v>
      </c>
      <c r="DK6" s="124" t="e">
        <f>#REF!</f>
        <v>#REF!</v>
      </c>
      <c r="DL6" s="124" t="e">
        <f>#REF!</f>
        <v>#REF!</v>
      </c>
      <c r="DM6" s="122" t="e">
        <f>#REF!</f>
        <v>#REF!</v>
      </c>
      <c r="DN6" s="124" t="e">
        <f>#REF!</f>
        <v>#REF!</v>
      </c>
      <c r="DO6" s="124" t="e">
        <f>#REF!</f>
        <v>#REF!</v>
      </c>
      <c r="DP6" s="124" t="e">
        <f>#REF!</f>
        <v>#REF!</v>
      </c>
      <c r="DQ6" s="124" t="e">
        <f>#REF!</f>
        <v>#REF!</v>
      </c>
      <c r="DR6" s="124" t="e">
        <f>#REF!</f>
        <v>#REF!</v>
      </c>
      <c r="DS6" s="124" t="e">
        <f>#REF!</f>
        <v>#REF!</v>
      </c>
      <c r="DT6" s="124" t="e">
        <f>#REF!</f>
        <v>#REF!</v>
      </c>
      <c r="DU6" s="124" t="e">
        <f>#REF!</f>
        <v>#REF!</v>
      </c>
      <c r="DV6" s="124" t="e">
        <f>#REF!</f>
        <v>#REF!</v>
      </c>
      <c r="DW6" s="124" t="e">
        <f>#REF!</f>
        <v>#REF!</v>
      </c>
      <c r="DX6" s="124" t="e">
        <f>#REF!</f>
        <v>#REF!</v>
      </c>
      <c r="DY6" s="124" t="e">
        <f>#REF!</f>
        <v>#REF!</v>
      </c>
      <c r="DZ6" s="124" t="e">
        <f>#REF!</f>
        <v>#REF!</v>
      </c>
      <c r="EA6" s="124" t="e">
        <f>#REF!</f>
        <v>#REF!</v>
      </c>
      <c r="EB6" s="124" t="e">
        <f>#REF!</f>
        <v>#REF!</v>
      </c>
      <c r="EC6" s="124" t="e">
        <f>#REF!</f>
        <v>#REF!</v>
      </c>
      <c r="ED6" s="124" t="e">
        <f>#REF!</f>
        <v>#REF!</v>
      </c>
      <c r="EE6" s="124" t="e">
        <f>#REF!</f>
        <v>#REF!</v>
      </c>
      <c r="EF6" s="124" t="e">
        <f>#REF!</f>
        <v>#REF!</v>
      </c>
      <c r="EG6" s="124" t="e">
        <f>#REF!</f>
        <v>#REF!</v>
      </c>
      <c r="EH6" s="124" t="e">
        <f>#REF!</f>
        <v>#REF!</v>
      </c>
      <c r="EI6" s="124" t="e">
        <f>#REF!</f>
        <v>#REF!</v>
      </c>
      <c r="EJ6" s="124" t="e">
        <f>#REF!</f>
        <v>#REF!</v>
      </c>
      <c r="EK6" s="124" t="e">
        <f>#REF!</f>
        <v>#REF!</v>
      </c>
      <c r="EL6" s="124" t="e">
        <f>#REF!</f>
        <v>#REF!</v>
      </c>
      <c r="EM6" s="124" t="e">
        <f>#REF!</f>
        <v>#REF!</v>
      </c>
      <c r="EN6" s="124" t="e">
        <f>#REF!</f>
        <v>#REF!</v>
      </c>
      <c r="EO6" s="124" t="e">
        <f>#REF!</f>
        <v>#REF!</v>
      </c>
      <c r="EP6" s="124" t="e">
        <f>#REF!</f>
        <v>#REF!</v>
      </c>
      <c r="EQ6" s="124" t="e">
        <f>#REF!</f>
        <v>#REF!</v>
      </c>
      <c r="ER6" s="124" t="e">
        <f>#REF!</f>
        <v>#REF!</v>
      </c>
      <c r="ES6" s="124" t="e">
        <f>#REF!</f>
        <v>#REF!</v>
      </c>
      <c r="ET6" s="124" t="e">
        <f>#REF!</f>
        <v>#REF!</v>
      </c>
      <c r="EU6" s="124" t="e">
        <f>#REF!</f>
        <v>#REF!</v>
      </c>
      <c r="EV6" s="124" t="e">
        <f>#REF!</f>
        <v>#REF!</v>
      </c>
      <c r="EW6" s="124" t="e">
        <f>#REF!</f>
        <v>#REF!</v>
      </c>
      <c r="EX6" s="124" t="e">
        <f>#REF!</f>
        <v>#REF!</v>
      </c>
      <c r="EY6" s="124" t="e">
        <f>#REF!</f>
        <v>#REF!</v>
      </c>
      <c r="EZ6" s="124" t="e">
        <f>#REF!</f>
        <v>#REF!</v>
      </c>
      <c r="FA6" s="124" t="e">
        <f>#REF!</f>
        <v>#REF!</v>
      </c>
      <c r="FB6" s="124" t="e">
        <f>#REF!</f>
        <v>#REF!</v>
      </c>
      <c r="FC6" s="124" t="e">
        <f>#REF!</f>
        <v>#REF!</v>
      </c>
      <c r="FD6" s="124" t="e">
        <f>#REF!</f>
        <v>#REF!</v>
      </c>
      <c r="FE6" s="124" t="e">
        <f>#REF!</f>
        <v>#REF!</v>
      </c>
      <c r="FF6" s="124" t="e">
        <f>#REF!</f>
        <v>#REF!</v>
      </c>
      <c r="FG6" s="124" t="e">
        <f>#REF!</f>
        <v>#REF!</v>
      </c>
      <c r="FH6" s="124" t="e">
        <f>#REF!</f>
        <v>#REF!</v>
      </c>
      <c r="FI6" s="124" t="e">
        <f>#REF!</f>
        <v>#REF!</v>
      </c>
      <c r="FJ6" s="124" t="e">
        <f>#REF!</f>
        <v>#REF!</v>
      </c>
      <c r="FK6" s="124"/>
      <c r="FL6" s="124"/>
      <c r="FM6" s="124"/>
      <c r="FN6" s="124"/>
      <c r="FP6" s="124"/>
      <c r="FQ6" s="124"/>
      <c r="FR6" s="124"/>
    </row>
    <row r="7" spans="1:174" x14ac:dyDescent="0.35">
      <c r="A7" s="122" t="s">
        <v>28</v>
      </c>
      <c r="B7" s="125" t="e">
        <f>#REF!</f>
        <v>#REF!</v>
      </c>
      <c r="C7" s="124" t="e">
        <f>#REF!</f>
        <v>#REF!</v>
      </c>
      <c r="D7" s="124" t="e">
        <f>#REF!</f>
        <v>#REF!</v>
      </c>
      <c r="E7" s="124" t="e">
        <f>#REF!</f>
        <v>#REF!</v>
      </c>
      <c r="F7" s="124" t="e">
        <f>#REF!</f>
        <v>#REF!</v>
      </c>
      <c r="G7" s="122" t="e">
        <f>#REF!</f>
        <v>#REF!</v>
      </c>
      <c r="H7" s="124" t="e">
        <f>#REF!</f>
        <v>#REF!</v>
      </c>
      <c r="I7" s="124" t="e">
        <f>#REF!</f>
        <v>#REF!</v>
      </c>
      <c r="J7" s="124" t="e">
        <f>#REF!</f>
        <v>#REF!</v>
      </c>
      <c r="K7" s="124" t="e">
        <f>#REF!</f>
        <v>#REF!</v>
      </c>
      <c r="L7" s="124" t="e">
        <f>#REF!</f>
        <v>#REF!</v>
      </c>
      <c r="M7" s="124" t="e">
        <f>#REF!</f>
        <v>#REF!</v>
      </c>
      <c r="N7" s="124" t="e">
        <f>#REF!</f>
        <v>#REF!</v>
      </c>
      <c r="O7" s="124" t="e">
        <f>#REF!</f>
        <v>#REF!</v>
      </c>
      <c r="P7" s="124" t="e">
        <f>#REF!</f>
        <v>#REF!</v>
      </c>
      <c r="Q7" s="124" t="e">
        <f>#REF!</f>
        <v>#REF!</v>
      </c>
      <c r="R7" s="124" t="e">
        <f>#REF!</f>
        <v>#REF!</v>
      </c>
      <c r="S7" s="124" t="e">
        <f>#REF!</f>
        <v>#REF!</v>
      </c>
      <c r="T7" s="124" t="e">
        <f>#REF!</f>
        <v>#REF!</v>
      </c>
      <c r="U7" s="124" t="e">
        <f>#REF!</f>
        <v>#REF!</v>
      </c>
      <c r="V7" s="124" t="e">
        <f>#REF!</f>
        <v>#REF!</v>
      </c>
      <c r="W7" s="124" t="e">
        <f>#REF!</f>
        <v>#REF!</v>
      </c>
      <c r="X7" s="124" t="e">
        <f>#REF!</f>
        <v>#REF!</v>
      </c>
      <c r="Y7" s="124" t="e">
        <f>#REF!</f>
        <v>#REF!</v>
      </c>
      <c r="Z7" s="124" t="e">
        <f>#REF!</f>
        <v>#REF!</v>
      </c>
      <c r="AA7" s="124" t="e">
        <f>#REF!</f>
        <v>#REF!</v>
      </c>
      <c r="AB7" s="124" t="e">
        <f>#REF!</f>
        <v>#REF!</v>
      </c>
      <c r="AC7" s="124" t="e">
        <f>#REF!</f>
        <v>#REF!</v>
      </c>
      <c r="AD7" s="124" t="e">
        <f>#REF!</f>
        <v>#REF!</v>
      </c>
      <c r="AE7" s="124" t="e">
        <f>#REF!</f>
        <v>#REF!</v>
      </c>
      <c r="AF7" s="124" t="e">
        <f>#REF!</f>
        <v>#REF!</v>
      </c>
      <c r="AG7" s="124" t="e">
        <f>#REF!</f>
        <v>#REF!</v>
      </c>
      <c r="AH7" s="124" t="e">
        <f>#REF!</f>
        <v>#REF!</v>
      </c>
      <c r="AI7" s="124" t="e">
        <f>#REF!</f>
        <v>#REF!</v>
      </c>
      <c r="AJ7" s="124" t="e">
        <f>#REF!</f>
        <v>#REF!</v>
      </c>
      <c r="AK7" s="124" t="e">
        <f>#REF!</f>
        <v>#REF!</v>
      </c>
      <c r="AL7" s="124" t="e">
        <f>#REF!</f>
        <v>#REF!</v>
      </c>
      <c r="AM7" s="124" t="e">
        <f>#REF!</f>
        <v>#REF!</v>
      </c>
      <c r="AN7" s="124" t="e">
        <f>#REF!</f>
        <v>#REF!</v>
      </c>
      <c r="AO7" s="124" t="e">
        <f>#REF!</f>
        <v>#REF!</v>
      </c>
      <c r="AP7" s="124" t="e">
        <f>#REF!</f>
        <v>#REF!</v>
      </c>
      <c r="AQ7" s="124" t="e">
        <f>#REF!</f>
        <v>#REF!</v>
      </c>
      <c r="AR7" s="124" t="e">
        <f>#REF!</f>
        <v>#REF!</v>
      </c>
      <c r="AS7" s="124" t="e">
        <f>#REF!</f>
        <v>#REF!</v>
      </c>
      <c r="AT7" s="124" t="e">
        <f>#REF!</f>
        <v>#REF!</v>
      </c>
      <c r="AU7" s="124" t="e">
        <f>#REF!</f>
        <v>#REF!</v>
      </c>
      <c r="AV7" s="124" t="e">
        <f>#REF!</f>
        <v>#REF!</v>
      </c>
      <c r="AW7" s="124" t="e">
        <f>#REF!</f>
        <v>#REF!</v>
      </c>
      <c r="AX7" s="124" t="e">
        <f>#REF!</f>
        <v>#REF!</v>
      </c>
      <c r="AY7" s="124" t="e">
        <f>#REF!</f>
        <v>#REF!</v>
      </c>
      <c r="AZ7" s="124" t="e">
        <f>#REF!</f>
        <v>#REF!</v>
      </c>
      <c r="BA7" s="124" t="e">
        <f>#REF!</f>
        <v>#REF!</v>
      </c>
      <c r="BB7" s="124" t="e">
        <f>#REF!</f>
        <v>#REF!</v>
      </c>
      <c r="BC7" s="124" t="e">
        <f>#REF!</f>
        <v>#REF!</v>
      </c>
      <c r="BD7" s="124" t="e">
        <f>#REF!</f>
        <v>#REF!</v>
      </c>
      <c r="BE7" s="125" t="e">
        <f>#REF!</f>
        <v>#REF!</v>
      </c>
      <c r="BF7" s="124" t="e">
        <f>#REF!</f>
        <v>#REF!</v>
      </c>
      <c r="BG7" s="124" t="e">
        <f>#REF!</f>
        <v>#REF!</v>
      </c>
      <c r="BH7" s="124" t="e">
        <f>#REF!</f>
        <v>#REF!</v>
      </c>
      <c r="BI7" s="124" t="e">
        <f>#REF!</f>
        <v>#REF!</v>
      </c>
      <c r="BJ7" s="122" t="e">
        <f>#REF!</f>
        <v>#REF!</v>
      </c>
      <c r="BK7" s="124" t="e">
        <f>#REF!</f>
        <v>#REF!</v>
      </c>
      <c r="BL7" s="124" t="e">
        <f>#REF!</f>
        <v>#REF!</v>
      </c>
      <c r="BM7" s="124" t="e">
        <f>#REF!</f>
        <v>#REF!</v>
      </c>
      <c r="BN7" s="124" t="e">
        <f>#REF!</f>
        <v>#REF!</v>
      </c>
      <c r="BO7" s="124" t="e">
        <f>#REF!</f>
        <v>#REF!</v>
      </c>
      <c r="BP7" s="124" t="e">
        <f>#REF!</f>
        <v>#REF!</v>
      </c>
      <c r="BQ7" s="124" t="e">
        <f>#REF!</f>
        <v>#REF!</v>
      </c>
      <c r="BR7" s="124" t="e">
        <f>#REF!</f>
        <v>#REF!</v>
      </c>
      <c r="BS7" s="124" t="e">
        <f>#REF!</f>
        <v>#REF!</v>
      </c>
      <c r="BT7" s="124" t="e">
        <f>#REF!</f>
        <v>#REF!</v>
      </c>
      <c r="BU7" s="124" t="e">
        <f>#REF!</f>
        <v>#REF!</v>
      </c>
      <c r="BV7" s="124" t="e">
        <f>#REF!</f>
        <v>#REF!</v>
      </c>
      <c r="BW7" s="124" t="e">
        <f>#REF!</f>
        <v>#REF!</v>
      </c>
      <c r="BX7" s="124" t="e">
        <f>#REF!</f>
        <v>#REF!</v>
      </c>
      <c r="BY7" s="124" t="e">
        <f>#REF!</f>
        <v>#REF!</v>
      </c>
      <c r="BZ7" s="124" t="e">
        <f>#REF!</f>
        <v>#REF!</v>
      </c>
      <c r="CA7" s="124" t="e">
        <f>#REF!</f>
        <v>#REF!</v>
      </c>
      <c r="CB7" s="124" t="e">
        <f>#REF!</f>
        <v>#REF!</v>
      </c>
      <c r="CC7" s="124" t="e">
        <f>#REF!</f>
        <v>#REF!</v>
      </c>
      <c r="CD7" s="124" t="e">
        <f>#REF!</f>
        <v>#REF!</v>
      </c>
      <c r="CE7" s="124" t="e">
        <f>#REF!</f>
        <v>#REF!</v>
      </c>
      <c r="CF7" s="124" t="e">
        <f>#REF!</f>
        <v>#REF!</v>
      </c>
      <c r="CG7" s="124" t="e">
        <f>#REF!</f>
        <v>#REF!</v>
      </c>
      <c r="CH7" s="124" t="e">
        <f>#REF!</f>
        <v>#REF!</v>
      </c>
      <c r="CI7" s="124" t="e">
        <f>#REF!</f>
        <v>#REF!</v>
      </c>
      <c r="CJ7" s="124" t="e">
        <f>#REF!</f>
        <v>#REF!</v>
      </c>
      <c r="CK7" s="124" t="e">
        <f>#REF!</f>
        <v>#REF!</v>
      </c>
      <c r="CL7" s="124" t="e">
        <f>#REF!</f>
        <v>#REF!</v>
      </c>
      <c r="CM7" s="124" t="e">
        <f>#REF!</f>
        <v>#REF!</v>
      </c>
      <c r="CN7" s="124" t="e">
        <f>#REF!</f>
        <v>#REF!</v>
      </c>
      <c r="CO7" s="124" t="e">
        <f>#REF!</f>
        <v>#REF!</v>
      </c>
      <c r="CP7" s="124" t="e">
        <f>#REF!</f>
        <v>#REF!</v>
      </c>
      <c r="CQ7" s="124" t="e">
        <f>#REF!</f>
        <v>#REF!</v>
      </c>
      <c r="CR7" s="124" t="e">
        <f>#REF!</f>
        <v>#REF!</v>
      </c>
      <c r="CS7" s="124" t="e">
        <f>#REF!</f>
        <v>#REF!</v>
      </c>
      <c r="CT7" s="124" t="e">
        <f>#REF!</f>
        <v>#REF!</v>
      </c>
      <c r="CU7" s="124" t="e">
        <f>#REF!</f>
        <v>#REF!</v>
      </c>
      <c r="CV7" s="124" t="e">
        <f>#REF!</f>
        <v>#REF!</v>
      </c>
      <c r="CW7" s="124" t="e">
        <f>#REF!</f>
        <v>#REF!</v>
      </c>
      <c r="CX7" s="124" t="e">
        <f>#REF!</f>
        <v>#REF!</v>
      </c>
      <c r="CY7" s="124" t="e">
        <f>#REF!</f>
        <v>#REF!</v>
      </c>
      <c r="CZ7" s="124" t="e">
        <f>#REF!</f>
        <v>#REF!</v>
      </c>
      <c r="DA7" s="124" t="e">
        <f>#REF!</f>
        <v>#REF!</v>
      </c>
      <c r="DB7" s="124" t="e">
        <f>#REF!</f>
        <v>#REF!</v>
      </c>
      <c r="DC7" s="124" t="e">
        <f>#REF!</f>
        <v>#REF!</v>
      </c>
      <c r="DD7" s="124" t="e">
        <f>#REF!</f>
        <v>#REF!</v>
      </c>
      <c r="DE7" s="124" t="e">
        <f>#REF!</f>
        <v>#REF!</v>
      </c>
      <c r="DF7" s="124" t="e">
        <f>#REF!</f>
        <v>#REF!</v>
      </c>
      <c r="DG7" s="124" t="e">
        <f>#REF!</f>
        <v>#REF!</v>
      </c>
      <c r="DH7" s="125" t="e">
        <f>#REF!</f>
        <v>#REF!</v>
      </c>
      <c r="DI7" s="124" t="e">
        <f>#REF!</f>
        <v>#REF!</v>
      </c>
      <c r="DJ7" s="124" t="e">
        <f>#REF!</f>
        <v>#REF!</v>
      </c>
      <c r="DK7" s="124" t="e">
        <f>#REF!</f>
        <v>#REF!</v>
      </c>
      <c r="DL7" s="124" t="e">
        <f>#REF!</f>
        <v>#REF!</v>
      </c>
      <c r="DM7" s="122" t="e">
        <f>#REF!</f>
        <v>#REF!</v>
      </c>
      <c r="DN7" s="124" t="e">
        <f>#REF!</f>
        <v>#REF!</v>
      </c>
      <c r="DO7" s="124" t="e">
        <f>#REF!</f>
        <v>#REF!</v>
      </c>
      <c r="DP7" s="124" t="e">
        <f>#REF!</f>
        <v>#REF!</v>
      </c>
      <c r="DQ7" s="124" t="e">
        <f>#REF!</f>
        <v>#REF!</v>
      </c>
      <c r="DR7" s="124" t="e">
        <f>#REF!</f>
        <v>#REF!</v>
      </c>
      <c r="DS7" s="124" t="e">
        <f>#REF!</f>
        <v>#REF!</v>
      </c>
      <c r="DT7" s="124" t="e">
        <f>#REF!</f>
        <v>#REF!</v>
      </c>
      <c r="DU7" s="124" t="e">
        <f>#REF!</f>
        <v>#REF!</v>
      </c>
      <c r="DV7" s="124" t="e">
        <f>#REF!</f>
        <v>#REF!</v>
      </c>
      <c r="DW7" s="124" t="e">
        <f>#REF!</f>
        <v>#REF!</v>
      </c>
      <c r="DX7" s="124" t="e">
        <f>#REF!</f>
        <v>#REF!</v>
      </c>
      <c r="DY7" s="124" t="e">
        <f>#REF!</f>
        <v>#REF!</v>
      </c>
      <c r="DZ7" s="124" t="e">
        <f>#REF!</f>
        <v>#REF!</v>
      </c>
      <c r="EA7" s="124" t="e">
        <f>#REF!</f>
        <v>#REF!</v>
      </c>
      <c r="EB7" s="124" t="e">
        <f>#REF!</f>
        <v>#REF!</v>
      </c>
      <c r="EC7" s="124" t="e">
        <f>#REF!</f>
        <v>#REF!</v>
      </c>
      <c r="ED7" s="124" t="e">
        <f>#REF!</f>
        <v>#REF!</v>
      </c>
      <c r="EE7" s="124" t="e">
        <f>#REF!</f>
        <v>#REF!</v>
      </c>
      <c r="EF7" s="124" t="e">
        <f>#REF!</f>
        <v>#REF!</v>
      </c>
      <c r="EG7" s="124" t="e">
        <f>#REF!</f>
        <v>#REF!</v>
      </c>
      <c r="EH7" s="124" t="e">
        <f>#REF!</f>
        <v>#REF!</v>
      </c>
      <c r="EI7" s="124" t="e">
        <f>#REF!</f>
        <v>#REF!</v>
      </c>
      <c r="EJ7" s="124" t="e">
        <f>#REF!</f>
        <v>#REF!</v>
      </c>
      <c r="EK7" s="124" t="e">
        <f>#REF!</f>
        <v>#REF!</v>
      </c>
      <c r="EL7" s="124" t="e">
        <f>#REF!</f>
        <v>#REF!</v>
      </c>
      <c r="EM7" s="124" t="e">
        <f>#REF!</f>
        <v>#REF!</v>
      </c>
      <c r="EN7" s="124" t="e">
        <f>#REF!</f>
        <v>#REF!</v>
      </c>
      <c r="EO7" s="124" t="e">
        <f>#REF!</f>
        <v>#REF!</v>
      </c>
      <c r="EP7" s="124" t="e">
        <f>#REF!</f>
        <v>#REF!</v>
      </c>
      <c r="EQ7" s="124" t="e">
        <f>#REF!</f>
        <v>#REF!</v>
      </c>
      <c r="ER7" s="124" t="e">
        <f>#REF!</f>
        <v>#REF!</v>
      </c>
      <c r="ES7" s="124" t="e">
        <f>#REF!</f>
        <v>#REF!</v>
      </c>
      <c r="ET7" s="124" t="e">
        <f>#REF!</f>
        <v>#REF!</v>
      </c>
      <c r="EU7" s="124" t="e">
        <f>#REF!</f>
        <v>#REF!</v>
      </c>
      <c r="EV7" s="124" t="e">
        <f>#REF!</f>
        <v>#REF!</v>
      </c>
      <c r="EW7" s="124" t="e">
        <f>#REF!</f>
        <v>#REF!</v>
      </c>
      <c r="EX7" s="124" t="e">
        <f>#REF!</f>
        <v>#REF!</v>
      </c>
      <c r="EY7" s="124" t="e">
        <f>#REF!</f>
        <v>#REF!</v>
      </c>
      <c r="EZ7" s="124" t="e">
        <f>#REF!</f>
        <v>#REF!</v>
      </c>
      <c r="FA7" s="124" t="e">
        <f>#REF!</f>
        <v>#REF!</v>
      </c>
      <c r="FB7" s="124" t="e">
        <f>#REF!</f>
        <v>#REF!</v>
      </c>
      <c r="FC7" s="124" t="e">
        <f>#REF!</f>
        <v>#REF!</v>
      </c>
      <c r="FD7" s="124" t="e">
        <f>#REF!</f>
        <v>#REF!</v>
      </c>
      <c r="FE7" s="124" t="e">
        <f>#REF!</f>
        <v>#REF!</v>
      </c>
      <c r="FF7" s="124" t="e">
        <f>#REF!</f>
        <v>#REF!</v>
      </c>
      <c r="FG7" s="124" t="e">
        <f>#REF!</f>
        <v>#REF!</v>
      </c>
      <c r="FH7" s="124" t="e">
        <f>#REF!</f>
        <v>#REF!</v>
      </c>
      <c r="FI7" s="124" t="e">
        <f>#REF!</f>
        <v>#REF!</v>
      </c>
      <c r="FJ7" s="124" t="e">
        <f>#REF!</f>
        <v>#REF!</v>
      </c>
      <c r="FK7" s="124"/>
      <c r="FL7" s="124"/>
      <c r="FM7" s="124"/>
      <c r="FN7" s="124"/>
      <c r="FP7" s="124"/>
      <c r="FQ7" s="124"/>
      <c r="FR7" s="124"/>
    </row>
    <row r="8" spans="1:174" x14ac:dyDescent="0.35">
      <c r="A8" s="122" t="s">
        <v>14</v>
      </c>
      <c r="B8" s="125" t="e">
        <f>#REF!</f>
        <v>#REF!</v>
      </c>
      <c r="C8" s="124" t="e">
        <f>#REF!</f>
        <v>#REF!</v>
      </c>
      <c r="D8" s="124" t="e">
        <f>#REF!</f>
        <v>#REF!</v>
      </c>
      <c r="E8" s="124" t="e">
        <f>#REF!</f>
        <v>#REF!</v>
      </c>
      <c r="F8" s="124" t="e">
        <f>#REF!</f>
        <v>#REF!</v>
      </c>
      <c r="G8" s="122" t="e">
        <f>#REF!</f>
        <v>#REF!</v>
      </c>
      <c r="H8" s="124" t="e">
        <f>#REF!</f>
        <v>#REF!</v>
      </c>
      <c r="I8" s="124" t="e">
        <f>#REF!</f>
        <v>#REF!</v>
      </c>
      <c r="J8" s="124" t="e">
        <f>#REF!</f>
        <v>#REF!</v>
      </c>
      <c r="K8" s="124" t="e">
        <f>#REF!</f>
        <v>#REF!</v>
      </c>
      <c r="L8" s="124" t="e">
        <f>#REF!</f>
        <v>#REF!</v>
      </c>
      <c r="M8" s="124" t="e">
        <f>#REF!</f>
        <v>#REF!</v>
      </c>
      <c r="N8" s="124" t="e">
        <f>#REF!</f>
        <v>#REF!</v>
      </c>
      <c r="O8" s="124" t="e">
        <f>#REF!</f>
        <v>#REF!</v>
      </c>
      <c r="P8" s="124" t="e">
        <f>#REF!</f>
        <v>#REF!</v>
      </c>
      <c r="Q8" s="124" t="e">
        <f>#REF!</f>
        <v>#REF!</v>
      </c>
      <c r="R8" s="124" t="e">
        <f>#REF!</f>
        <v>#REF!</v>
      </c>
      <c r="S8" s="124" t="e">
        <f>#REF!</f>
        <v>#REF!</v>
      </c>
      <c r="T8" s="124" t="e">
        <f>#REF!</f>
        <v>#REF!</v>
      </c>
      <c r="U8" s="124" t="e">
        <f>#REF!</f>
        <v>#REF!</v>
      </c>
      <c r="V8" s="124" t="e">
        <f>#REF!</f>
        <v>#REF!</v>
      </c>
      <c r="W8" s="124" t="e">
        <f>#REF!</f>
        <v>#REF!</v>
      </c>
      <c r="X8" s="124" t="e">
        <f>#REF!</f>
        <v>#REF!</v>
      </c>
      <c r="Y8" s="124" t="e">
        <f>#REF!</f>
        <v>#REF!</v>
      </c>
      <c r="Z8" s="124" t="e">
        <f>#REF!</f>
        <v>#REF!</v>
      </c>
      <c r="AA8" s="124" t="e">
        <f>#REF!</f>
        <v>#REF!</v>
      </c>
      <c r="AB8" s="124" t="e">
        <f>#REF!</f>
        <v>#REF!</v>
      </c>
      <c r="AC8" s="124" t="e">
        <f>#REF!</f>
        <v>#REF!</v>
      </c>
      <c r="AD8" s="124" t="e">
        <f>#REF!</f>
        <v>#REF!</v>
      </c>
      <c r="AE8" s="124" t="e">
        <f>#REF!</f>
        <v>#REF!</v>
      </c>
      <c r="AF8" s="124" t="e">
        <f>#REF!</f>
        <v>#REF!</v>
      </c>
      <c r="AG8" s="124" t="e">
        <f>#REF!</f>
        <v>#REF!</v>
      </c>
      <c r="AH8" s="124" t="e">
        <f>#REF!</f>
        <v>#REF!</v>
      </c>
      <c r="AI8" s="124" t="e">
        <f>#REF!</f>
        <v>#REF!</v>
      </c>
      <c r="AJ8" s="124" t="e">
        <f>#REF!</f>
        <v>#REF!</v>
      </c>
      <c r="AK8" s="124" t="e">
        <f>#REF!</f>
        <v>#REF!</v>
      </c>
      <c r="AL8" s="124" t="e">
        <f>#REF!</f>
        <v>#REF!</v>
      </c>
      <c r="AM8" s="124" t="e">
        <f>#REF!</f>
        <v>#REF!</v>
      </c>
      <c r="AN8" s="124" t="e">
        <f>#REF!</f>
        <v>#REF!</v>
      </c>
      <c r="AO8" s="124" t="e">
        <f>#REF!</f>
        <v>#REF!</v>
      </c>
      <c r="AP8" s="124" t="e">
        <f>#REF!</f>
        <v>#REF!</v>
      </c>
      <c r="AQ8" s="124" t="e">
        <f>#REF!</f>
        <v>#REF!</v>
      </c>
      <c r="AR8" s="124" t="e">
        <f>#REF!</f>
        <v>#REF!</v>
      </c>
      <c r="AS8" s="124" t="e">
        <f>#REF!</f>
        <v>#REF!</v>
      </c>
      <c r="AT8" s="124" t="e">
        <f>#REF!</f>
        <v>#REF!</v>
      </c>
      <c r="AU8" s="124" t="e">
        <f>#REF!</f>
        <v>#REF!</v>
      </c>
      <c r="AV8" s="124" t="e">
        <f>#REF!</f>
        <v>#REF!</v>
      </c>
      <c r="AW8" s="124" t="e">
        <f>#REF!</f>
        <v>#REF!</v>
      </c>
      <c r="AX8" s="124" t="e">
        <f>#REF!</f>
        <v>#REF!</v>
      </c>
      <c r="AY8" s="124" t="e">
        <f>#REF!</f>
        <v>#REF!</v>
      </c>
      <c r="AZ8" s="124" t="e">
        <f>#REF!</f>
        <v>#REF!</v>
      </c>
      <c r="BA8" s="124" t="e">
        <f>#REF!</f>
        <v>#REF!</v>
      </c>
      <c r="BB8" s="124" t="e">
        <f>#REF!</f>
        <v>#REF!</v>
      </c>
      <c r="BC8" s="124" t="e">
        <f>#REF!</f>
        <v>#REF!</v>
      </c>
      <c r="BD8" s="124" t="e">
        <f>#REF!</f>
        <v>#REF!</v>
      </c>
      <c r="BE8" s="125" t="e">
        <f>#REF!</f>
        <v>#REF!</v>
      </c>
      <c r="BF8" s="124" t="e">
        <f>#REF!</f>
        <v>#REF!</v>
      </c>
      <c r="BG8" s="124" t="e">
        <f>#REF!</f>
        <v>#REF!</v>
      </c>
      <c r="BH8" s="124" t="e">
        <f>#REF!</f>
        <v>#REF!</v>
      </c>
      <c r="BI8" s="124" t="e">
        <f>#REF!</f>
        <v>#REF!</v>
      </c>
      <c r="BJ8" s="122" t="e">
        <f>#REF!</f>
        <v>#REF!</v>
      </c>
      <c r="BK8" s="124" t="e">
        <f>#REF!</f>
        <v>#REF!</v>
      </c>
      <c r="BL8" s="124" t="e">
        <f>#REF!</f>
        <v>#REF!</v>
      </c>
      <c r="BM8" s="124" t="e">
        <f>#REF!</f>
        <v>#REF!</v>
      </c>
      <c r="BN8" s="124" t="e">
        <f>#REF!</f>
        <v>#REF!</v>
      </c>
      <c r="BO8" s="124" t="e">
        <f>#REF!</f>
        <v>#REF!</v>
      </c>
      <c r="BP8" s="124" t="e">
        <f>#REF!</f>
        <v>#REF!</v>
      </c>
      <c r="BQ8" s="124" t="e">
        <f>#REF!</f>
        <v>#REF!</v>
      </c>
      <c r="BR8" s="124" t="e">
        <f>#REF!</f>
        <v>#REF!</v>
      </c>
      <c r="BS8" s="124" t="e">
        <f>#REF!</f>
        <v>#REF!</v>
      </c>
      <c r="BT8" s="124" t="e">
        <f>#REF!</f>
        <v>#REF!</v>
      </c>
      <c r="BU8" s="124" t="e">
        <f>#REF!</f>
        <v>#REF!</v>
      </c>
      <c r="BV8" s="124" t="e">
        <f>#REF!</f>
        <v>#REF!</v>
      </c>
      <c r="BW8" s="124" t="e">
        <f>#REF!</f>
        <v>#REF!</v>
      </c>
      <c r="BX8" s="124" t="e">
        <f>#REF!</f>
        <v>#REF!</v>
      </c>
      <c r="BY8" s="124" t="e">
        <f>#REF!</f>
        <v>#REF!</v>
      </c>
      <c r="BZ8" s="124" t="e">
        <f>#REF!</f>
        <v>#REF!</v>
      </c>
      <c r="CA8" s="124" t="e">
        <f>#REF!</f>
        <v>#REF!</v>
      </c>
      <c r="CB8" s="124" t="e">
        <f>#REF!</f>
        <v>#REF!</v>
      </c>
      <c r="CC8" s="124" t="e">
        <f>#REF!</f>
        <v>#REF!</v>
      </c>
      <c r="CD8" s="124" t="e">
        <f>#REF!</f>
        <v>#REF!</v>
      </c>
      <c r="CE8" s="124" t="e">
        <f>#REF!</f>
        <v>#REF!</v>
      </c>
      <c r="CF8" s="124" t="e">
        <f>#REF!</f>
        <v>#REF!</v>
      </c>
      <c r="CG8" s="124" t="e">
        <f>#REF!</f>
        <v>#REF!</v>
      </c>
      <c r="CH8" s="124" t="e">
        <f>#REF!</f>
        <v>#REF!</v>
      </c>
      <c r="CI8" s="124" t="e">
        <f>#REF!</f>
        <v>#REF!</v>
      </c>
      <c r="CJ8" s="124" t="e">
        <f>#REF!</f>
        <v>#REF!</v>
      </c>
      <c r="CK8" s="124" t="e">
        <f>#REF!</f>
        <v>#REF!</v>
      </c>
      <c r="CL8" s="124" t="e">
        <f>#REF!</f>
        <v>#REF!</v>
      </c>
      <c r="CM8" s="124" t="e">
        <f>#REF!</f>
        <v>#REF!</v>
      </c>
      <c r="CN8" s="124" t="e">
        <f>#REF!</f>
        <v>#REF!</v>
      </c>
      <c r="CO8" s="124" t="e">
        <f>#REF!</f>
        <v>#REF!</v>
      </c>
      <c r="CP8" s="124" t="e">
        <f>#REF!</f>
        <v>#REF!</v>
      </c>
      <c r="CQ8" s="124" t="e">
        <f>#REF!</f>
        <v>#REF!</v>
      </c>
      <c r="CR8" s="124" t="e">
        <f>#REF!</f>
        <v>#REF!</v>
      </c>
      <c r="CS8" s="124" t="e">
        <f>#REF!</f>
        <v>#REF!</v>
      </c>
      <c r="CT8" s="124" t="e">
        <f>#REF!</f>
        <v>#REF!</v>
      </c>
      <c r="CU8" s="124" t="e">
        <f>#REF!</f>
        <v>#REF!</v>
      </c>
      <c r="CV8" s="124" t="e">
        <f>#REF!</f>
        <v>#REF!</v>
      </c>
      <c r="CW8" s="124" t="e">
        <f>#REF!</f>
        <v>#REF!</v>
      </c>
      <c r="CX8" s="124" t="e">
        <f>#REF!</f>
        <v>#REF!</v>
      </c>
      <c r="CY8" s="124" t="e">
        <f>#REF!</f>
        <v>#REF!</v>
      </c>
      <c r="CZ8" s="124" t="e">
        <f>#REF!</f>
        <v>#REF!</v>
      </c>
      <c r="DA8" s="124" t="e">
        <f>#REF!</f>
        <v>#REF!</v>
      </c>
      <c r="DB8" s="124" t="e">
        <f>#REF!</f>
        <v>#REF!</v>
      </c>
      <c r="DC8" s="124" t="e">
        <f>#REF!</f>
        <v>#REF!</v>
      </c>
      <c r="DD8" s="124" t="e">
        <f>#REF!</f>
        <v>#REF!</v>
      </c>
      <c r="DE8" s="124" t="e">
        <f>#REF!</f>
        <v>#REF!</v>
      </c>
      <c r="DF8" s="124" t="e">
        <f>#REF!</f>
        <v>#REF!</v>
      </c>
      <c r="DG8" s="124" t="e">
        <f>#REF!</f>
        <v>#REF!</v>
      </c>
      <c r="DH8" s="125" t="e">
        <f>#REF!</f>
        <v>#REF!</v>
      </c>
      <c r="DI8" s="124" t="e">
        <f>#REF!</f>
        <v>#REF!</v>
      </c>
      <c r="DJ8" s="124" t="e">
        <f>#REF!</f>
        <v>#REF!</v>
      </c>
      <c r="DK8" s="124" t="e">
        <f>#REF!</f>
        <v>#REF!</v>
      </c>
      <c r="DL8" s="124" t="e">
        <f>#REF!</f>
        <v>#REF!</v>
      </c>
      <c r="DM8" s="122" t="e">
        <f>#REF!</f>
        <v>#REF!</v>
      </c>
      <c r="DN8" s="124" t="e">
        <f>#REF!</f>
        <v>#REF!</v>
      </c>
      <c r="DO8" s="124" t="e">
        <f>#REF!</f>
        <v>#REF!</v>
      </c>
      <c r="DP8" s="124" t="e">
        <f>#REF!</f>
        <v>#REF!</v>
      </c>
      <c r="DQ8" s="124" t="e">
        <f>#REF!</f>
        <v>#REF!</v>
      </c>
      <c r="DR8" s="124" t="e">
        <f>#REF!</f>
        <v>#REF!</v>
      </c>
      <c r="DS8" s="124" t="e">
        <f>#REF!</f>
        <v>#REF!</v>
      </c>
      <c r="DT8" s="124" t="e">
        <f>#REF!</f>
        <v>#REF!</v>
      </c>
      <c r="DU8" s="124" t="e">
        <f>#REF!</f>
        <v>#REF!</v>
      </c>
      <c r="DV8" s="124" t="e">
        <f>#REF!</f>
        <v>#REF!</v>
      </c>
      <c r="DW8" s="124" t="e">
        <f>#REF!</f>
        <v>#REF!</v>
      </c>
      <c r="DX8" s="124" t="e">
        <f>#REF!</f>
        <v>#REF!</v>
      </c>
      <c r="DY8" s="124" t="e">
        <f>#REF!</f>
        <v>#REF!</v>
      </c>
      <c r="DZ8" s="124" t="e">
        <f>#REF!</f>
        <v>#REF!</v>
      </c>
      <c r="EA8" s="124" t="e">
        <f>#REF!</f>
        <v>#REF!</v>
      </c>
      <c r="EB8" s="124" t="e">
        <f>#REF!</f>
        <v>#REF!</v>
      </c>
      <c r="EC8" s="124" t="e">
        <f>#REF!</f>
        <v>#REF!</v>
      </c>
      <c r="ED8" s="124" t="e">
        <f>#REF!</f>
        <v>#REF!</v>
      </c>
      <c r="EE8" s="124" t="e">
        <f>#REF!</f>
        <v>#REF!</v>
      </c>
      <c r="EF8" s="124" t="e">
        <f>#REF!</f>
        <v>#REF!</v>
      </c>
      <c r="EG8" s="124" t="e">
        <f>#REF!</f>
        <v>#REF!</v>
      </c>
      <c r="EH8" s="124" t="e">
        <f>#REF!</f>
        <v>#REF!</v>
      </c>
      <c r="EI8" s="124" t="e">
        <f>#REF!</f>
        <v>#REF!</v>
      </c>
      <c r="EJ8" s="124" t="e">
        <f>#REF!</f>
        <v>#REF!</v>
      </c>
      <c r="EK8" s="124" t="e">
        <f>#REF!</f>
        <v>#REF!</v>
      </c>
      <c r="EL8" s="124" t="e">
        <f>#REF!</f>
        <v>#REF!</v>
      </c>
      <c r="EM8" s="124" t="e">
        <f>#REF!</f>
        <v>#REF!</v>
      </c>
      <c r="EN8" s="124" t="e">
        <f>#REF!</f>
        <v>#REF!</v>
      </c>
      <c r="EO8" s="124" t="e">
        <f>#REF!</f>
        <v>#REF!</v>
      </c>
      <c r="EP8" s="124" t="e">
        <f>#REF!</f>
        <v>#REF!</v>
      </c>
      <c r="EQ8" s="124" t="e">
        <f>#REF!</f>
        <v>#REF!</v>
      </c>
      <c r="ER8" s="124" t="e">
        <f>#REF!</f>
        <v>#REF!</v>
      </c>
      <c r="ES8" s="124" t="e">
        <f>#REF!</f>
        <v>#REF!</v>
      </c>
      <c r="ET8" s="124" t="e">
        <f>#REF!</f>
        <v>#REF!</v>
      </c>
      <c r="EU8" s="124" t="e">
        <f>#REF!</f>
        <v>#REF!</v>
      </c>
      <c r="EV8" s="124" t="e">
        <f>#REF!</f>
        <v>#REF!</v>
      </c>
      <c r="EW8" s="124" t="e">
        <f>#REF!</f>
        <v>#REF!</v>
      </c>
      <c r="EX8" s="124" t="e">
        <f>#REF!</f>
        <v>#REF!</v>
      </c>
      <c r="EY8" s="124" t="e">
        <f>#REF!</f>
        <v>#REF!</v>
      </c>
      <c r="EZ8" s="124" t="e">
        <f>#REF!</f>
        <v>#REF!</v>
      </c>
      <c r="FA8" s="124" t="e">
        <f>#REF!</f>
        <v>#REF!</v>
      </c>
      <c r="FB8" s="124" t="e">
        <f>#REF!</f>
        <v>#REF!</v>
      </c>
      <c r="FC8" s="124" t="e">
        <f>#REF!</f>
        <v>#REF!</v>
      </c>
      <c r="FD8" s="124" t="e">
        <f>#REF!</f>
        <v>#REF!</v>
      </c>
      <c r="FE8" s="124" t="e">
        <f>#REF!</f>
        <v>#REF!</v>
      </c>
      <c r="FF8" s="124" t="e">
        <f>#REF!</f>
        <v>#REF!</v>
      </c>
      <c r="FG8" s="124" t="e">
        <f>#REF!</f>
        <v>#REF!</v>
      </c>
      <c r="FH8" s="124" t="e">
        <f>#REF!</f>
        <v>#REF!</v>
      </c>
      <c r="FI8" s="124" t="e">
        <f>#REF!</f>
        <v>#REF!</v>
      </c>
      <c r="FJ8" s="124" t="e">
        <f>#REF!</f>
        <v>#REF!</v>
      </c>
      <c r="FK8" s="124"/>
      <c r="FL8" s="124"/>
      <c r="FM8" s="124"/>
      <c r="FN8" s="124"/>
      <c r="FP8" s="124"/>
      <c r="FQ8" s="124"/>
      <c r="FR8" s="124"/>
    </row>
    <row r="9" spans="1:174" x14ac:dyDescent="0.35">
      <c r="A9" s="122" t="s">
        <v>25</v>
      </c>
      <c r="B9" s="125" t="e">
        <f>#REF!</f>
        <v>#REF!</v>
      </c>
      <c r="C9" s="124" t="e">
        <f>#REF!</f>
        <v>#REF!</v>
      </c>
      <c r="D9" s="124" t="e">
        <f>#REF!</f>
        <v>#REF!</v>
      </c>
      <c r="E9" s="124" t="e">
        <f>#REF!</f>
        <v>#REF!</v>
      </c>
      <c r="F9" s="124" t="e">
        <f>#REF!</f>
        <v>#REF!</v>
      </c>
      <c r="G9" s="122" t="e">
        <f>#REF!</f>
        <v>#REF!</v>
      </c>
      <c r="H9" s="124" t="e">
        <f>#REF!</f>
        <v>#REF!</v>
      </c>
      <c r="I9" s="124" t="e">
        <f>#REF!</f>
        <v>#REF!</v>
      </c>
      <c r="J9" s="124" t="e">
        <f>#REF!</f>
        <v>#REF!</v>
      </c>
      <c r="K9" s="124" t="e">
        <f>#REF!</f>
        <v>#REF!</v>
      </c>
      <c r="L9" s="124" t="e">
        <f>#REF!</f>
        <v>#REF!</v>
      </c>
      <c r="M9" s="124" t="e">
        <f>#REF!</f>
        <v>#REF!</v>
      </c>
      <c r="N9" s="124" t="e">
        <f>#REF!</f>
        <v>#REF!</v>
      </c>
      <c r="O9" s="124" t="e">
        <f>#REF!</f>
        <v>#REF!</v>
      </c>
      <c r="P9" s="124" t="e">
        <f>#REF!</f>
        <v>#REF!</v>
      </c>
      <c r="Q9" s="124" t="e">
        <f>#REF!</f>
        <v>#REF!</v>
      </c>
      <c r="R9" s="124" t="e">
        <f>#REF!</f>
        <v>#REF!</v>
      </c>
      <c r="S9" s="124" t="e">
        <f>#REF!</f>
        <v>#REF!</v>
      </c>
      <c r="T9" s="124" t="e">
        <f>#REF!</f>
        <v>#REF!</v>
      </c>
      <c r="U9" s="124" t="e">
        <f>#REF!</f>
        <v>#REF!</v>
      </c>
      <c r="V9" s="124" t="e">
        <f>#REF!</f>
        <v>#REF!</v>
      </c>
      <c r="W9" s="124" t="e">
        <f>#REF!</f>
        <v>#REF!</v>
      </c>
      <c r="X9" s="124" t="e">
        <f>#REF!</f>
        <v>#REF!</v>
      </c>
      <c r="Y9" s="124" t="e">
        <f>#REF!</f>
        <v>#REF!</v>
      </c>
      <c r="Z9" s="124" t="e">
        <f>#REF!</f>
        <v>#REF!</v>
      </c>
      <c r="AA9" s="124" t="e">
        <f>#REF!</f>
        <v>#REF!</v>
      </c>
      <c r="AB9" s="124" t="e">
        <f>#REF!</f>
        <v>#REF!</v>
      </c>
      <c r="AC9" s="124" t="e">
        <f>#REF!</f>
        <v>#REF!</v>
      </c>
      <c r="AD9" s="124" t="e">
        <f>#REF!</f>
        <v>#REF!</v>
      </c>
      <c r="AE9" s="124" t="e">
        <f>#REF!</f>
        <v>#REF!</v>
      </c>
      <c r="AF9" s="124" t="e">
        <f>#REF!</f>
        <v>#REF!</v>
      </c>
      <c r="AG9" s="124" t="e">
        <f>#REF!</f>
        <v>#REF!</v>
      </c>
      <c r="AH9" s="124" t="e">
        <f>#REF!</f>
        <v>#REF!</v>
      </c>
      <c r="AI9" s="124" t="e">
        <f>#REF!</f>
        <v>#REF!</v>
      </c>
      <c r="AJ9" s="124" t="e">
        <f>#REF!</f>
        <v>#REF!</v>
      </c>
      <c r="AK9" s="124" t="e">
        <f>#REF!</f>
        <v>#REF!</v>
      </c>
      <c r="AL9" s="124" t="e">
        <f>#REF!</f>
        <v>#REF!</v>
      </c>
      <c r="AM9" s="124" t="e">
        <f>#REF!</f>
        <v>#REF!</v>
      </c>
      <c r="AN9" s="124" t="e">
        <f>#REF!</f>
        <v>#REF!</v>
      </c>
      <c r="AO9" s="124" t="e">
        <f>#REF!</f>
        <v>#REF!</v>
      </c>
      <c r="AP9" s="124" t="e">
        <f>#REF!</f>
        <v>#REF!</v>
      </c>
      <c r="AQ9" s="124" t="e">
        <f>#REF!</f>
        <v>#REF!</v>
      </c>
      <c r="AR9" s="124" t="e">
        <f>#REF!</f>
        <v>#REF!</v>
      </c>
      <c r="AS9" s="124" t="e">
        <f>#REF!</f>
        <v>#REF!</v>
      </c>
      <c r="AT9" s="124" t="e">
        <f>#REF!</f>
        <v>#REF!</v>
      </c>
      <c r="AU9" s="124" t="e">
        <f>#REF!</f>
        <v>#REF!</v>
      </c>
      <c r="AV9" s="124" t="e">
        <f>#REF!</f>
        <v>#REF!</v>
      </c>
      <c r="AW9" s="124" t="e">
        <f>#REF!</f>
        <v>#REF!</v>
      </c>
      <c r="AX9" s="124" t="e">
        <f>#REF!</f>
        <v>#REF!</v>
      </c>
      <c r="AY9" s="124" t="e">
        <f>#REF!</f>
        <v>#REF!</v>
      </c>
      <c r="AZ9" s="124" t="e">
        <f>#REF!</f>
        <v>#REF!</v>
      </c>
      <c r="BA9" s="124" t="e">
        <f>#REF!</f>
        <v>#REF!</v>
      </c>
      <c r="BB9" s="124" t="e">
        <f>#REF!</f>
        <v>#REF!</v>
      </c>
      <c r="BC9" s="124" t="e">
        <f>#REF!</f>
        <v>#REF!</v>
      </c>
      <c r="BD9" s="124" t="e">
        <f>#REF!</f>
        <v>#REF!</v>
      </c>
      <c r="BE9" s="125" t="e">
        <f>#REF!</f>
        <v>#REF!</v>
      </c>
      <c r="BF9" s="124" t="e">
        <f>#REF!</f>
        <v>#REF!</v>
      </c>
      <c r="BG9" s="124" t="e">
        <f>#REF!</f>
        <v>#REF!</v>
      </c>
      <c r="BH9" s="124" t="e">
        <f>#REF!</f>
        <v>#REF!</v>
      </c>
      <c r="BI9" s="124" t="e">
        <f>#REF!</f>
        <v>#REF!</v>
      </c>
      <c r="BJ9" s="122" t="e">
        <f>#REF!</f>
        <v>#REF!</v>
      </c>
      <c r="BK9" s="124" t="e">
        <f>#REF!</f>
        <v>#REF!</v>
      </c>
      <c r="BL9" s="124" t="e">
        <f>#REF!</f>
        <v>#REF!</v>
      </c>
      <c r="BM9" s="124" t="e">
        <f>#REF!</f>
        <v>#REF!</v>
      </c>
      <c r="BN9" s="124" t="e">
        <f>#REF!</f>
        <v>#REF!</v>
      </c>
      <c r="BO9" s="124" t="e">
        <f>#REF!</f>
        <v>#REF!</v>
      </c>
      <c r="BP9" s="124" t="e">
        <f>#REF!</f>
        <v>#REF!</v>
      </c>
      <c r="BQ9" s="124" t="e">
        <f>#REF!</f>
        <v>#REF!</v>
      </c>
      <c r="BR9" s="124" t="e">
        <f>#REF!</f>
        <v>#REF!</v>
      </c>
      <c r="BS9" s="124" t="e">
        <f>#REF!</f>
        <v>#REF!</v>
      </c>
      <c r="BT9" s="124" t="e">
        <f>#REF!</f>
        <v>#REF!</v>
      </c>
      <c r="BU9" s="124" t="e">
        <f>#REF!</f>
        <v>#REF!</v>
      </c>
      <c r="BV9" s="124" t="e">
        <f>#REF!</f>
        <v>#REF!</v>
      </c>
      <c r="BW9" s="124" t="e">
        <f>#REF!</f>
        <v>#REF!</v>
      </c>
      <c r="BX9" s="124" t="e">
        <f>#REF!</f>
        <v>#REF!</v>
      </c>
      <c r="BY9" s="124" t="e">
        <f>#REF!</f>
        <v>#REF!</v>
      </c>
      <c r="BZ9" s="124" t="e">
        <f>#REF!</f>
        <v>#REF!</v>
      </c>
      <c r="CA9" s="124" t="e">
        <f>#REF!</f>
        <v>#REF!</v>
      </c>
      <c r="CB9" s="124" t="e">
        <f>#REF!</f>
        <v>#REF!</v>
      </c>
      <c r="CC9" s="124" t="e">
        <f>#REF!</f>
        <v>#REF!</v>
      </c>
      <c r="CD9" s="124" t="e">
        <f>#REF!</f>
        <v>#REF!</v>
      </c>
      <c r="CE9" s="124" t="e">
        <f>#REF!</f>
        <v>#REF!</v>
      </c>
      <c r="CF9" s="124" t="e">
        <f>#REF!</f>
        <v>#REF!</v>
      </c>
      <c r="CG9" s="124" t="e">
        <f>#REF!</f>
        <v>#REF!</v>
      </c>
      <c r="CH9" s="124" t="e">
        <f>#REF!</f>
        <v>#REF!</v>
      </c>
      <c r="CI9" s="124" t="e">
        <f>#REF!</f>
        <v>#REF!</v>
      </c>
      <c r="CJ9" s="124" t="e">
        <f>#REF!</f>
        <v>#REF!</v>
      </c>
      <c r="CK9" s="124" t="e">
        <f>#REF!</f>
        <v>#REF!</v>
      </c>
      <c r="CL9" s="124" t="e">
        <f>#REF!</f>
        <v>#REF!</v>
      </c>
      <c r="CM9" s="124" t="e">
        <f>#REF!</f>
        <v>#REF!</v>
      </c>
      <c r="CN9" s="124" t="e">
        <f>#REF!</f>
        <v>#REF!</v>
      </c>
      <c r="CO9" s="124" t="e">
        <f>#REF!</f>
        <v>#REF!</v>
      </c>
      <c r="CP9" s="124" t="e">
        <f>#REF!</f>
        <v>#REF!</v>
      </c>
      <c r="CQ9" s="124" t="e">
        <f>#REF!</f>
        <v>#REF!</v>
      </c>
      <c r="CR9" s="124" t="e">
        <f>#REF!</f>
        <v>#REF!</v>
      </c>
      <c r="CS9" s="124" t="e">
        <f>#REF!</f>
        <v>#REF!</v>
      </c>
      <c r="CT9" s="124" t="e">
        <f>#REF!</f>
        <v>#REF!</v>
      </c>
      <c r="CU9" s="124" t="e">
        <f>#REF!</f>
        <v>#REF!</v>
      </c>
      <c r="CV9" s="124" t="e">
        <f>#REF!</f>
        <v>#REF!</v>
      </c>
      <c r="CW9" s="124" t="e">
        <f>#REF!</f>
        <v>#REF!</v>
      </c>
      <c r="CX9" s="124" t="e">
        <f>#REF!</f>
        <v>#REF!</v>
      </c>
      <c r="CY9" s="124" t="e">
        <f>#REF!</f>
        <v>#REF!</v>
      </c>
      <c r="CZ9" s="124" t="e">
        <f>#REF!</f>
        <v>#REF!</v>
      </c>
      <c r="DA9" s="124" t="e">
        <f>#REF!</f>
        <v>#REF!</v>
      </c>
      <c r="DB9" s="124" t="e">
        <f>#REF!</f>
        <v>#REF!</v>
      </c>
      <c r="DC9" s="124" t="e">
        <f>#REF!</f>
        <v>#REF!</v>
      </c>
      <c r="DD9" s="124" t="e">
        <f>#REF!</f>
        <v>#REF!</v>
      </c>
      <c r="DE9" s="124" t="e">
        <f>#REF!</f>
        <v>#REF!</v>
      </c>
      <c r="DF9" s="124" t="e">
        <f>#REF!</f>
        <v>#REF!</v>
      </c>
      <c r="DG9" s="124" t="e">
        <f>#REF!</f>
        <v>#REF!</v>
      </c>
      <c r="DH9" s="125" t="e">
        <f>#REF!</f>
        <v>#REF!</v>
      </c>
      <c r="DI9" s="124" t="e">
        <f>#REF!</f>
        <v>#REF!</v>
      </c>
      <c r="DJ9" s="124" t="e">
        <f>#REF!</f>
        <v>#REF!</v>
      </c>
      <c r="DK9" s="124" t="e">
        <f>#REF!</f>
        <v>#REF!</v>
      </c>
      <c r="DL9" s="124" t="e">
        <f>#REF!</f>
        <v>#REF!</v>
      </c>
      <c r="DM9" s="122" t="e">
        <f>#REF!</f>
        <v>#REF!</v>
      </c>
      <c r="DN9" s="124" t="e">
        <f>#REF!</f>
        <v>#REF!</v>
      </c>
      <c r="DO9" s="124" t="e">
        <f>#REF!</f>
        <v>#REF!</v>
      </c>
      <c r="DP9" s="124" t="e">
        <f>#REF!</f>
        <v>#REF!</v>
      </c>
      <c r="DQ9" s="124" t="e">
        <f>#REF!</f>
        <v>#REF!</v>
      </c>
      <c r="DR9" s="124" t="e">
        <f>#REF!</f>
        <v>#REF!</v>
      </c>
      <c r="DS9" s="124" t="e">
        <f>#REF!</f>
        <v>#REF!</v>
      </c>
      <c r="DT9" s="124" t="e">
        <f>#REF!</f>
        <v>#REF!</v>
      </c>
      <c r="DU9" s="124" t="e">
        <f>#REF!</f>
        <v>#REF!</v>
      </c>
      <c r="DV9" s="124" t="e">
        <f>#REF!</f>
        <v>#REF!</v>
      </c>
      <c r="DW9" s="124" t="e">
        <f>#REF!</f>
        <v>#REF!</v>
      </c>
      <c r="DX9" s="124" t="e">
        <f>#REF!</f>
        <v>#REF!</v>
      </c>
      <c r="DY9" s="124" t="e">
        <f>#REF!</f>
        <v>#REF!</v>
      </c>
      <c r="DZ9" s="124" t="e">
        <f>#REF!</f>
        <v>#REF!</v>
      </c>
      <c r="EA9" s="124" t="e">
        <f>#REF!</f>
        <v>#REF!</v>
      </c>
      <c r="EB9" s="124" t="e">
        <f>#REF!</f>
        <v>#REF!</v>
      </c>
      <c r="EC9" s="124" t="e">
        <f>#REF!</f>
        <v>#REF!</v>
      </c>
      <c r="ED9" s="124" t="e">
        <f>#REF!</f>
        <v>#REF!</v>
      </c>
      <c r="EE9" s="124" t="e">
        <f>#REF!</f>
        <v>#REF!</v>
      </c>
      <c r="EF9" s="124" t="e">
        <f>#REF!</f>
        <v>#REF!</v>
      </c>
      <c r="EG9" s="124" t="e">
        <f>#REF!</f>
        <v>#REF!</v>
      </c>
      <c r="EH9" s="124" t="e">
        <f>#REF!</f>
        <v>#REF!</v>
      </c>
      <c r="EI9" s="124" t="e">
        <f>#REF!</f>
        <v>#REF!</v>
      </c>
      <c r="EJ9" s="124" t="e">
        <f>#REF!</f>
        <v>#REF!</v>
      </c>
      <c r="EK9" s="124" t="e">
        <f>#REF!</f>
        <v>#REF!</v>
      </c>
      <c r="EL9" s="124" t="e">
        <f>#REF!</f>
        <v>#REF!</v>
      </c>
      <c r="EM9" s="124" t="e">
        <f>#REF!</f>
        <v>#REF!</v>
      </c>
      <c r="EN9" s="124" t="e">
        <f>#REF!</f>
        <v>#REF!</v>
      </c>
      <c r="EO9" s="124" t="e">
        <f>#REF!</f>
        <v>#REF!</v>
      </c>
      <c r="EP9" s="124" t="e">
        <f>#REF!</f>
        <v>#REF!</v>
      </c>
      <c r="EQ9" s="124" t="e">
        <f>#REF!</f>
        <v>#REF!</v>
      </c>
      <c r="ER9" s="124" t="e">
        <f>#REF!</f>
        <v>#REF!</v>
      </c>
      <c r="ES9" s="124" t="e">
        <f>#REF!</f>
        <v>#REF!</v>
      </c>
      <c r="ET9" s="124" t="e">
        <f>#REF!</f>
        <v>#REF!</v>
      </c>
      <c r="EU9" s="124" t="e">
        <f>#REF!</f>
        <v>#REF!</v>
      </c>
      <c r="EV9" s="124" t="e">
        <f>#REF!</f>
        <v>#REF!</v>
      </c>
      <c r="EW9" s="124" t="e">
        <f>#REF!</f>
        <v>#REF!</v>
      </c>
      <c r="EX9" s="124" t="e">
        <f>#REF!</f>
        <v>#REF!</v>
      </c>
      <c r="EY9" s="124" t="e">
        <f>#REF!</f>
        <v>#REF!</v>
      </c>
      <c r="EZ9" s="124" t="e">
        <f>#REF!</f>
        <v>#REF!</v>
      </c>
      <c r="FA9" s="124" t="e">
        <f>#REF!</f>
        <v>#REF!</v>
      </c>
      <c r="FB9" s="124" t="e">
        <f>#REF!</f>
        <v>#REF!</v>
      </c>
      <c r="FC9" s="124" t="e">
        <f>#REF!</f>
        <v>#REF!</v>
      </c>
      <c r="FD9" s="124" t="e">
        <f>#REF!</f>
        <v>#REF!</v>
      </c>
      <c r="FE9" s="124" t="e">
        <f>#REF!</f>
        <v>#REF!</v>
      </c>
      <c r="FF9" s="124" t="e">
        <f>#REF!</f>
        <v>#REF!</v>
      </c>
      <c r="FG9" s="124" t="e">
        <f>#REF!</f>
        <v>#REF!</v>
      </c>
      <c r="FH9" s="124" t="e">
        <f>#REF!</f>
        <v>#REF!</v>
      </c>
      <c r="FI9" s="124" t="e">
        <f>#REF!</f>
        <v>#REF!</v>
      </c>
      <c r="FJ9" s="124" t="e">
        <f>#REF!</f>
        <v>#REF!</v>
      </c>
      <c r="FK9" s="124"/>
      <c r="FL9" s="124"/>
      <c r="FM9" s="124"/>
      <c r="FN9" s="124"/>
      <c r="FP9" s="124"/>
      <c r="FQ9" s="124"/>
      <c r="FR9" s="124"/>
    </row>
    <row r="10" spans="1:174" x14ac:dyDescent="0.35">
      <c r="A10" s="122" t="s">
        <v>37</v>
      </c>
      <c r="B10" s="125" t="e">
        <f>#REF!</f>
        <v>#REF!</v>
      </c>
      <c r="C10" s="124" t="e">
        <f>#REF!</f>
        <v>#REF!</v>
      </c>
      <c r="D10" s="124" t="e">
        <f>#REF!</f>
        <v>#REF!</v>
      </c>
      <c r="E10" s="124" t="e">
        <f>#REF!</f>
        <v>#REF!</v>
      </c>
      <c r="F10" s="124" t="e">
        <f>#REF!</f>
        <v>#REF!</v>
      </c>
      <c r="G10" s="122" t="e">
        <f>#REF!</f>
        <v>#REF!</v>
      </c>
      <c r="H10" s="124" t="e">
        <f>#REF!</f>
        <v>#REF!</v>
      </c>
      <c r="I10" s="124" t="e">
        <f>#REF!</f>
        <v>#REF!</v>
      </c>
      <c r="J10" s="124" t="e">
        <f>#REF!</f>
        <v>#REF!</v>
      </c>
      <c r="K10" s="124" t="e">
        <f>#REF!</f>
        <v>#REF!</v>
      </c>
      <c r="L10" s="124" t="e">
        <f>#REF!</f>
        <v>#REF!</v>
      </c>
      <c r="M10" s="124" t="e">
        <f>#REF!</f>
        <v>#REF!</v>
      </c>
      <c r="N10" s="124" t="e">
        <f>#REF!</f>
        <v>#REF!</v>
      </c>
      <c r="O10" s="124" t="e">
        <f>#REF!</f>
        <v>#REF!</v>
      </c>
      <c r="P10" s="124" t="e">
        <f>#REF!</f>
        <v>#REF!</v>
      </c>
      <c r="Q10" s="124" t="e">
        <f>#REF!</f>
        <v>#REF!</v>
      </c>
      <c r="R10" s="124" t="e">
        <f>#REF!</f>
        <v>#REF!</v>
      </c>
      <c r="S10" s="124" t="e">
        <f>#REF!</f>
        <v>#REF!</v>
      </c>
      <c r="T10" s="124" t="e">
        <f>#REF!</f>
        <v>#REF!</v>
      </c>
      <c r="U10" s="124" t="e">
        <f>#REF!</f>
        <v>#REF!</v>
      </c>
      <c r="V10" s="124" t="e">
        <f>#REF!</f>
        <v>#REF!</v>
      </c>
      <c r="W10" s="124" t="e">
        <f>#REF!</f>
        <v>#REF!</v>
      </c>
      <c r="X10" s="124" t="e">
        <f>#REF!</f>
        <v>#REF!</v>
      </c>
      <c r="Y10" s="124" t="e">
        <f>#REF!</f>
        <v>#REF!</v>
      </c>
      <c r="Z10" s="124" t="e">
        <f>#REF!</f>
        <v>#REF!</v>
      </c>
      <c r="AA10" s="124" t="e">
        <f>#REF!</f>
        <v>#REF!</v>
      </c>
      <c r="AB10" s="124" t="e">
        <f>#REF!</f>
        <v>#REF!</v>
      </c>
      <c r="AC10" s="124" t="e">
        <f>#REF!</f>
        <v>#REF!</v>
      </c>
      <c r="AD10" s="124" t="e">
        <f>#REF!</f>
        <v>#REF!</v>
      </c>
      <c r="AE10" s="124" t="e">
        <f>#REF!</f>
        <v>#REF!</v>
      </c>
      <c r="AF10" s="124" t="e">
        <f>#REF!</f>
        <v>#REF!</v>
      </c>
      <c r="AG10" s="124" t="e">
        <f>#REF!</f>
        <v>#REF!</v>
      </c>
      <c r="AH10" s="124" t="e">
        <f>#REF!</f>
        <v>#REF!</v>
      </c>
      <c r="AI10" s="124" t="e">
        <f>#REF!</f>
        <v>#REF!</v>
      </c>
      <c r="AJ10" s="124" t="e">
        <f>#REF!</f>
        <v>#REF!</v>
      </c>
      <c r="AK10" s="124" t="e">
        <f>#REF!</f>
        <v>#REF!</v>
      </c>
      <c r="AL10" s="124" t="e">
        <f>#REF!</f>
        <v>#REF!</v>
      </c>
      <c r="AM10" s="124" t="e">
        <f>#REF!</f>
        <v>#REF!</v>
      </c>
      <c r="AN10" s="124" t="e">
        <f>#REF!</f>
        <v>#REF!</v>
      </c>
      <c r="AO10" s="124" t="e">
        <f>#REF!</f>
        <v>#REF!</v>
      </c>
      <c r="AP10" s="124" t="e">
        <f>#REF!</f>
        <v>#REF!</v>
      </c>
      <c r="AQ10" s="124" t="e">
        <f>#REF!</f>
        <v>#REF!</v>
      </c>
      <c r="AR10" s="124" t="e">
        <f>#REF!</f>
        <v>#REF!</v>
      </c>
      <c r="AS10" s="124" t="e">
        <f>#REF!</f>
        <v>#REF!</v>
      </c>
      <c r="AT10" s="124" t="e">
        <f>#REF!</f>
        <v>#REF!</v>
      </c>
      <c r="AU10" s="124" t="e">
        <f>#REF!</f>
        <v>#REF!</v>
      </c>
      <c r="AV10" s="124" t="e">
        <f>#REF!</f>
        <v>#REF!</v>
      </c>
      <c r="AW10" s="124" t="e">
        <f>#REF!</f>
        <v>#REF!</v>
      </c>
      <c r="AX10" s="124" t="e">
        <f>#REF!</f>
        <v>#REF!</v>
      </c>
      <c r="AY10" s="124" t="e">
        <f>#REF!</f>
        <v>#REF!</v>
      </c>
      <c r="AZ10" s="124" t="e">
        <f>#REF!</f>
        <v>#REF!</v>
      </c>
      <c r="BA10" s="124" t="e">
        <f>#REF!</f>
        <v>#REF!</v>
      </c>
      <c r="BB10" s="124" t="e">
        <f>#REF!</f>
        <v>#REF!</v>
      </c>
      <c r="BC10" s="124" t="e">
        <f>#REF!</f>
        <v>#REF!</v>
      </c>
      <c r="BD10" s="124" t="e">
        <f>#REF!</f>
        <v>#REF!</v>
      </c>
      <c r="BE10" s="125" t="e">
        <f>#REF!</f>
        <v>#REF!</v>
      </c>
      <c r="BF10" s="124" t="e">
        <f>#REF!</f>
        <v>#REF!</v>
      </c>
      <c r="BG10" s="124" t="e">
        <f>#REF!</f>
        <v>#REF!</v>
      </c>
      <c r="BH10" s="124" t="e">
        <f>#REF!</f>
        <v>#REF!</v>
      </c>
      <c r="BI10" s="124" t="e">
        <f>#REF!</f>
        <v>#REF!</v>
      </c>
      <c r="BJ10" s="122" t="e">
        <f>#REF!</f>
        <v>#REF!</v>
      </c>
      <c r="BK10" s="124" t="e">
        <f>#REF!</f>
        <v>#REF!</v>
      </c>
      <c r="BL10" s="124" t="e">
        <f>#REF!</f>
        <v>#REF!</v>
      </c>
      <c r="BM10" s="124" t="e">
        <f>#REF!</f>
        <v>#REF!</v>
      </c>
      <c r="BN10" s="124" t="e">
        <f>#REF!</f>
        <v>#REF!</v>
      </c>
      <c r="BO10" s="124" t="e">
        <f>#REF!</f>
        <v>#REF!</v>
      </c>
      <c r="BP10" s="124" t="e">
        <f>#REF!</f>
        <v>#REF!</v>
      </c>
      <c r="BQ10" s="124" t="e">
        <f>#REF!</f>
        <v>#REF!</v>
      </c>
      <c r="BR10" s="124" t="e">
        <f>#REF!</f>
        <v>#REF!</v>
      </c>
      <c r="BS10" s="124" t="e">
        <f>#REF!</f>
        <v>#REF!</v>
      </c>
      <c r="BT10" s="124" t="e">
        <f>#REF!</f>
        <v>#REF!</v>
      </c>
      <c r="BU10" s="124" t="e">
        <f>#REF!</f>
        <v>#REF!</v>
      </c>
      <c r="BV10" s="124" t="e">
        <f>#REF!</f>
        <v>#REF!</v>
      </c>
      <c r="BW10" s="124" t="e">
        <f>#REF!</f>
        <v>#REF!</v>
      </c>
      <c r="BX10" s="124" t="e">
        <f>#REF!</f>
        <v>#REF!</v>
      </c>
      <c r="BY10" s="124" t="e">
        <f>#REF!</f>
        <v>#REF!</v>
      </c>
      <c r="BZ10" s="124" t="e">
        <f>#REF!</f>
        <v>#REF!</v>
      </c>
      <c r="CA10" s="124" t="e">
        <f>#REF!</f>
        <v>#REF!</v>
      </c>
      <c r="CB10" s="124" t="e">
        <f>#REF!</f>
        <v>#REF!</v>
      </c>
      <c r="CC10" s="124" t="e">
        <f>#REF!</f>
        <v>#REF!</v>
      </c>
      <c r="CD10" s="124" t="e">
        <f>#REF!</f>
        <v>#REF!</v>
      </c>
      <c r="CE10" s="124" t="e">
        <f>#REF!</f>
        <v>#REF!</v>
      </c>
      <c r="CF10" s="124" t="e">
        <f>#REF!</f>
        <v>#REF!</v>
      </c>
      <c r="CG10" s="124" t="e">
        <f>#REF!</f>
        <v>#REF!</v>
      </c>
      <c r="CH10" s="124" t="e">
        <f>#REF!</f>
        <v>#REF!</v>
      </c>
      <c r="CI10" s="124" t="e">
        <f>#REF!</f>
        <v>#REF!</v>
      </c>
      <c r="CJ10" s="124" t="e">
        <f>#REF!</f>
        <v>#REF!</v>
      </c>
      <c r="CK10" s="124" t="e">
        <f>#REF!</f>
        <v>#REF!</v>
      </c>
      <c r="CL10" s="124" t="e">
        <f>#REF!</f>
        <v>#REF!</v>
      </c>
      <c r="CM10" s="124" t="e">
        <f>#REF!</f>
        <v>#REF!</v>
      </c>
      <c r="CN10" s="124" t="e">
        <f>#REF!</f>
        <v>#REF!</v>
      </c>
      <c r="CO10" s="124" t="e">
        <f>#REF!</f>
        <v>#REF!</v>
      </c>
      <c r="CP10" s="124" t="e">
        <f>#REF!</f>
        <v>#REF!</v>
      </c>
      <c r="CQ10" s="124" t="e">
        <f>#REF!</f>
        <v>#REF!</v>
      </c>
      <c r="CR10" s="124" t="e">
        <f>#REF!</f>
        <v>#REF!</v>
      </c>
      <c r="CS10" s="124" t="e">
        <f>#REF!</f>
        <v>#REF!</v>
      </c>
      <c r="CT10" s="124" t="e">
        <f>#REF!</f>
        <v>#REF!</v>
      </c>
      <c r="CU10" s="124" t="e">
        <f>#REF!</f>
        <v>#REF!</v>
      </c>
      <c r="CV10" s="124" t="e">
        <f>#REF!</f>
        <v>#REF!</v>
      </c>
      <c r="CW10" s="124" t="e">
        <f>#REF!</f>
        <v>#REF!</v>
      </c>
      <c r="CX10" s="124" t="e">
        <f>#REF!</f>
        <v>#REF!</v>
      </c>
      <c r="CY10" s="124" t="e">
        <f>#REF!</f>
        <v>#REF!</v>
      </c>
      <c r="CZ10" s="124" t="e">
        <f>#REF!</f>
        <v>#REF!</v>
      </c>
      <c r="DA10" s="124" t="e">
        <f>#REF!</f>
        <v>#REF!</v>
      </c>
      <c r="DB10" s="124" t="e">
        <f>#REF!</f>
        <v>#REF!</v>
      </c>
      <c r="DC10" s="124" t="e">
        <f>#REF!</f>
        <v>#REF!</v>
      </c>
      <c r="DD10" s="124" t="e">
        <f>#REF!</f>
        <v>#REF!</v>
      </c>
      <c r="DE10" s="124" t="e">
        <f>#REF!</f>
        <v>#REF!</v>
      </c>
      <c r="DF10" s="124" t="e">
        <f>#REF!</f>
        <v>#REF!</v>
      </c>
      <c r="DG10" s="124" t="e">
        <f>#REF!</f>
        <v>#REF!</v>
      </c>
      <c r="DH10" s="125" t="e">
        <f>#REF!</f>
        <v>#REF!</v>
      </c>
      <c r="DI10" s="124" t="e">
        <f>#REF!</f>
        <v>#REF!</v>
      </c>
      <c r="DJ10" s="124" t="e">
        <f>#REF!</f>
        <v>#REF!</v>
      </c>
      <c r="DK10" s="124" t="e">
        <f>#REF!</f>
        <v>#REF!</v>
      </c>
      <c r="DL10" s="124" t="e">
        <f>#REF!</f>
        <v>#REF!</v>
      </c>
      <c r="DM10" s="122" t="e">
        <f>#REF!</f>
        <v>#REF!</v>
      </c>
      <c r="DN10" s="124" t="e">
        <f>#REF!</f>
        <v>#REF!</v>
      </c>
      <c r="DO10" s="124" t="e">
        <f>#REF!</f>
        <v>#REF!</v>
      </c>
      <c r="DP10" s="124" t="e">
        <f>#REF!</f>
        <v>#REF!</v>
      </c>
      <c r="DQ10" s="124" t="e">
        <f>#REF!</f>
        <v>#REF!</v>
      </c>
      <c r="DR10" s="124" t="e">
        <f>#REF!</f>
        <v>#REF!</v>
      </c>
      <c r="DS10" s="124" t="e">
        <f>#REF!</f>
        <v>#REF!</v>
      </c>
      <c r="DT10" s="124" t="e">
        <f>#REF!</f>
        <v>#REF!</v>
      </c>
      <c r="DU10" s="124" t="e">
        <f>#REF!</f>
        <v>#REF!</v>
      </c>
      <c r="DV10" s="124" t="e">
        <f>#REF!</f>
        <v>#REF!</v>
      </c>
      <c r="DW10" s="124" t="e">
        <f>#REF!</f>
        <v>#REF!</v>
      </c>
      <c r="DX10" s="124" t="e">
        <f>#REF!</f>
        <v>#REF!</v>
      </c>
      <c r="DY10" s="124" t="e">
        <f>#REF!</f>
        <v>#REF!</v>
      </c>
      <c r="DZ10" s="124" t="e">
        <f>#REF!</f>
        <v>#REF!</v>
      </c>
      <c r="EA10" s="124" t="e">
        <f>#REF!</f>
        <v>#REF!</v>
      </c>
      <c r="EB10" s="124" t="e">
        <f>#REF!</f>
        <v>#REF!</v>
      </c>
      <c r="EC10" s="124" t="e">
        <f>#REF!</f>
        <v>#REF!</v>
      </c>
      <c r="ED10" s="124" t="e">
        <f>#REF!</f>
        <v>#REF!</v>
      </c>
      <c r="EE10" s="124" t="e">
        <f>#REF!</f>
        <v>#REF!</v>
      </c>
      <c r="EF10" s="124" t="e">
        <f>#REF!</f>
        <v>#REF!</v>
      </c>
      <c r="EG10" s="124" t="e">
        <f>#REF!</f>
        <v>#REF!</v>
      </c>
      <c r="EH10" s="124" t="e">
        <f>#REF!</f>
        <v>#REF!</v>
      </c>
      <c r="EI10" s="124" t="e">
        <f>#REF!</f>
        <v>#REF!</v>
      </c>
      <c r="EJ10" s="124" t="e">
        <f>#REF!</f>
        <v>#REF!</v>
      </c>
      <c r="EK10" s="124" t="e">
        <f>#REF!</f>
        <v>#REF!</v>
      </c>
      <c r="EL10" s="124" t="e">
        <f>#REF!</f>
        <v>#REF!</v>
      </c>
      <c r="EM10" s="124" t="e">
        <f>#REF!</f>
        <v>#REF!</v>
      </c>
      <c r="EN10" s="124" t="e">
        <f>#REF!</f>
        <v>#REF!</v>
      </c>
      <c r="EO10" s="124" t="e">
        <f>#REF!</f>
        <v>#REF!</v>
      </c>
      <c r="EP10" s="124" t="e">
        <f>#REF!</f>
        <v>#REF!</v>
      </c>
      <c r="EQ10" s="124" t="e">
        <f>#REF!</f>
        <v>#REF!</v>
      </c>
      <c r="ER10" s="124" t="e">
        <f>#REF!</f>
        <v>#REF!</v>
      </c>
      <c r="ES10" s="124" t="e">
        <f>#REF!</f>
        <v>#REF!</v>
      </c>
      <c r="ET10" s="124" t="e">
        <f>#REF!</f>
        <v>#REF!</v>
      </c>
      <c r="EU10" s="124" t="e">
        <f>#REF!</f>
        <v>#REF!</v>
      </c>
      <c r="EV10" s="124" t="e">
        <f>#REF!</f>
        <v>#REF!</v>
      </c>
      <c r="EW10" s="124" t="e">
        <f>#REF!</f>
        <v>#REF!</v>
      </c>
      <c r="EX10" s="124" t="e">
        <f>#REF!</f>
        <v>#REF!</v>
      </c>
      <c r="EY10" s="124" t="e">
        <f>#REF!</f>
        <v>#REF!</v>
      </c>
      <c r="EZ10" s="124" t="e">
        <f>#REF!</f>
        <v>#REF!</v>
      </c>
      <c r="FA10" s="124" t="e">
        <f>#REF!</f>
        <v>#REF!</v>
      </c>
      <c r="FB10" s="124" t="e">
        <f>#REF!</f>
        <v>#REF!</v>
      </c>
      <c r="FC10" s="124" t="e">
        <f>#REF!</f>
        <v>#REF!</v>
      </c>
      <c r="FD10" s="124" t="e">
        <f>#REF!</f>
        <v>#REF!</v>
      </c>
      <c r="FE10" s="124" t="e">
        <f>#REF!</f>
        <v>#REF!</v>
      </c>
      <c r="FF10" s="124" t="e">
        <f>#REF!</f>
        <v>#REF!</v>
      </c>
      <c r="FG10" s="124" t="e">
        <f>#REF!</f>
        <v>#REF!</v>
      </c>
      <c r="FH10" s="124" t="e">
        <f>#REF!</f>
        <v>#REF!</v>
      </c>
      <c r="FI10" s="124" t="e">
        <f>#REF!</f>
        <v>#REF!</v>
      </c>
      <c r="FJ10" s="124" t="e">
        <f>#REF!</f>
        <v>#REF!</v>
      </c>
      <c r="FK10" s="124"/>
      <c r="FL10" s="124"/>
      <c r="FM10" s="124"/>
      <c r="FN10" s="124"/>
      <c r="FP10" s="124"/>
      <c r="FQ10" s="124"/>
      <c r="FR10" s="124"/>
    </row>
    <row r="11" spans="1:174" x14ac:dyDescent="0.35">
      <c r="A11" s="122" t="s">
        <v>52</v>
      </c>
      <c r="B11" s="125" t="e">
        <f>#REF!</f>
        <v>#REF!</v>
      </c>
      <c r="C11" s="124" t="e">
        <f>#REF!</f>
        <v>#REF!</v>
      </c>
      <c r="D11" s="124" t="e">
        <f>#REF!</f>
        <v>#REF!</v>
      </c>
      <c r="E11" s="124" t="e">
        <f>#REF!</f>
        <v>#REF!</v>
      </c>
      <c r="F11" s="124" t="e">
        <f>#REF!</f>
        <v>#REF!</v>
      </c>
      <c r="G11" s="122" t="e">
        <f>#REF!</f>
        <v>#REF!</v>
      </c>
      <c r="H11" s="124" t="e">
        <f>#REF!</f>
        <v>#REF!</v>
      </c>
      <c r="I11" s="124" t="e">
        <f>#REF!</f>
        <v>#REF!</v>
      </c>
      <c r="J11" s="124" t="e">
        <f>#REF!</f>
        <v>#REF!</v>
      </c>
      <c r="K11" s="124" t="e">
        <f>#REF!</f>
        <v>#REF!</v>
      </c>
      <c r="L11" s="124" t="e">
        <f>#REF!</f>
        <v>#REF!</v>
      </c>
      <c r="M11" s="124" t="e">
        <f>#REF!</f>
        <v>#REF!</v>
      </c>
      <c r="N11" s="124" t="e">
        <f>#REF!</f>
        <v>#REF!</v>
      </c>
      <c r="O11" s="124" t="e">
        <f>#REF!</f>
        <v>#REF!</v>
      </c>
      <c r="P11" s="124" t="e">
        <f>#REF!</f>
        <v>#REF!</v>
      </c>
      <c r="Q11" s="124" t="e">
        <f>#REF!</f>
        <v>#REF!</v>
      </c>
      <c r="R11" s="124" t="e">
        <f>#REF!</f>
        <v>#REF!</v>
      </c>
      <c r="S11" s="124" t="e">
        <f>#REF!</f>
        <v>#REF!</v>
      </c>
      <c r="T11" s="124" t="e">
        <f>#REF!</f>
        <v>#REF!</v>
      </c>
      <c r="U11" s="124" t="e">
        <f>#REF!</f>
        <v>#REF!</v>
      </c>
      <c r="V11" s="124" t="e">
        <f>#REF!</f>
        <v>#REF!</v>
      </c>
      <c r="W11" s="124" t="e">
        <f>#REF!</f>
        <v>#REF!</v>
      </c>
      <c r="X11" s="124" t="e">
        <f>#REF!</f>
        <v>#REF!</v>
      </c>
      <c r="Y11" s="124" t="e">
        <f>#REF!</f>
        <v>#REF!</v>
      </c>
      <c r="Z11" s="124" t="e">
        <f>#REF!</f>
        <v>#REF!</v>
      </c>
      <c r="AA11" s="124" t="e">
        <f>#REF!</f>
        <v>#REF!</v>
      </c>
      <c r="AB11" s="124" t="e">
        <f>#REF!</f>
        <v>#REF!</v>
      </c>
      <c r="AC11" s="124" t="e">
        <f>#REF!</f>
        <v>#REF!</v>
      </c>
      <c r="AD11" s="124" t="e">
        <f>#REF!</f>
        <v>#REF!</v>
      </c>
      <c r="AE11" s="124" t="e">
        <f>#REF!</f>
        <v>#REF!</v>
      </c>
      <c r="AF11" s="124" t="e">
        <f>#REF!</f>
        <v>#REF!</v>
      </c>
      <c r="AG11" s="124" t="e">
        <f>#REF!</f>
        <v>#REF!</v>
      </c>
      <c r="AH11" s="124" t="e">
        <f>#REF!</f>
        <v>#REF!</v>
      </c>
      <c r="AI11" s="124" t="e">
        <f>#REF!</f>
        <v>#REF!</v>
      </c>
      <c r="AJ11" s="124" t="e">
        <f>#REF!</f>
        <v>#REF!</v>
      </c>
      <c r="AK11" s="124" t="e">
        <f>#REF!</f>
        <v>#REF!</v>
      </c>
      <c r="AL11" s="124" t="e">
        <f>#REF!</f>
        <v>#REF!</v>
      </c>
      <c r="AM11" s="124" t="e">
        <f>#REF!</f>
        <v>#REF!</v>
      </c>
      <c r="AN11" s="124" t="e">
        <f>#REF!</f>
        <v>#REF!</v>
      </c>
      <c r="AO11" s="124" t="e">
        <f>#REF!</f>
        <v>#REF!</v>
      </c>
      <c r="AP11" s="124" t="e">
        <f>#REF!</f>
        <v>#REF!</v>
      </c>
      <c r="AQ11" s="124" t="e">
        <f>#REF!</f>
        <v>#REF!</v>
      </c>
      <c r="AR11" s="124" t="e">
        <f>#REF!</f>
        <v>#REF!</v>
      </c>
      <c r="AS11" s="124" t="e">
        <f>#REF!</f>
        <v>#REF!</v>
      </c>
      <c r="AT11" s="124" t="e">
        <f>#REF!</f>
        <v>#REF!</v>
      </c>
      <c r="AU11" s="124" t="e">
        <f>#REF!</f>
        <v>#REF!</v>
      </c>
      <c r="AV11" s="124" t="e">
        <f>#REF!</f>
        <v>#REF!</v>
      </c>
      <c r="AW11" s="124" t="e">
        <f>#REF!</f>
        <v>#REF!</v>
      </c>
      <c r="AX11" s="124" t="e">
        <f>#REF!</f>
        <v>#REF!</v>
      </c>
      <c r="AY11" s="124" t="e">
        <f>#REF!</f>
        <v>#REF!</v>
      </c>
      <c r="AZ11" s="124" t="e">
        <f>#REF!</f>
        <v>#REF!</v>
      </c>
      <c r="BA11" s="124" t="e">
        <f>#REF!</f>
        <v>#REF!</v>
      </c>
      <c r="BB11" s="124" t="e">
        <f>#REF!</f>
        <v>#REF!</v>
      </c>
      <c r="BC11" s="124" t="e">
        <f>#REF!</f>
        <v>#REF!</v>
      </c>
      <c r="BD11" s="124" t="e">
        <f>#REF!</f>
        <v>#REF!</v>
      </c>
      <c r="BE11" s="125" t="e">
        <f>#REF!</f>
        <v>#REF!</v>
      </c>
      <c r="BF11" s="124" t="e">
        <f>#REF!</f>
        <v>#REF!</v>
      </c>
      <c r="BG11" s="124" t="e">
        <f>#REF!</f>
        <v>#REF!</v>
      </c>
      <c r="BH11" s="124" t="e">
        <f>#REF!</f>
        <v>#REF!</v>
      </c>
      <c r="BI11" s="124" t="e">
        <f>#REF!</f>
        <v>#REF!</v>
      </c>
      <c r="BJ11" s="122" t="e">
        <f>#REF!</f>
        <v>#REF!</v>
      </c>
      <c r="BK11" s="124" t="e">
        <f>#REF!</f>
        <v>#REF!</v>
      </c>
      <c r="BL11" s="124" t="e">
        <f>#REF!</f>
        <v>#REF!</v>
      </c>
      <c r="BM11" s="124" t="e">
        <f>#REF!</f>
        <v>#REF!</v>
      </c>
      <c r="BN11" s="124" t="e">
        <f>#REF!</f>
        <v>#REF!</v>
      </c>
      <c r="BO11" s="124" t="e">
        <f>#REF!</f>
        <v>#REF!</v>
      </c>
      <c r="BP11" s="124" t="e">
        <f>#REF!</f>
        <v>#REF!</v>
      </c>
      <c r="BQ11" s="124" t="e">
        <f>#REF!</f>
        <v>#REF!</v>
      </c>
      <c r="BR11" s="124" t="e">
        <f>#REF!</f>
        <v>#REF!</v>
      </c>
      <c r="BS11" s="124" t="e">
        <f>#REF!</f>
        <v>#REF!</v>
      </c>
      <c r="BT11" s="124" t="e">
        <f>#REF!</f>
        <v>#REF!</v>
      </c>
      <c r="BU11" s="124" t="e">
        <f>#REF!</f>
        <v>#REF!</v>
      </c>
      <c r="BV11" s="124" t="e">
        <f>#REF!</f>
        <v>#REF!</v>
      </c>
      <c r="BW11" s="124" t="e">
        <f>#REF!</f>
        <v>#REF!</v>
      </c>
      <c r="BX11" s="124" t="e">
        <f>#REF!</f>
        <v>#REF!</v>
      </c>
      <c r="BY11" s="124" t="e">
        <f>#REF!</f>
        <v>#REF!</v>
      </c>
      <c r="BZ11" s="124" t="e">
        <f>#REF!</f>
        <v>#REF!</v>
      </c>
      <c r="CA11" s="124" t="e">
        <f>#REF!</f>
        <v>#REF!</v>
      </c>
      <c r="CB11" s="124" t="e">
        <f>#REF!</f>
        <v>#REF!</v>
      </c>
      <c r="CC11" s="124" t="e">
        <f>#REF!</f>
        <v>#REF!</v>
      </c>
      <c r="CD11" s="124" t="e">
        <f>#REF!</f>
        <v>#REF!</v>
      </c>
      <c r="CE11" s="124" t="e">
        <f>#REF!</f>
        <v>#REF!</v>
      </c>
      <c r="CF11" s="124" t="e">
        <f>#REF!</f>
        <v>#REF!</v>
      </c>
      <c r="CG11" s="124" t="e">
        <f>#REF!</f>
        <v>#REF!</v>
      </c>
      <c r="CH11" s="124" t="e">
        <f>#REF!</f>
        <v>#REF!</v>
      </c>
      <c r="CI11" s="124" t="e">
        <f>#REF!</f>
        <v>#REF!</v>
      </c>
      <c r="CJ11" s="124" t="e">
        <f>#REF!</f>
        <v>#REF!</v>
      </c>
      <c r="CK11" s="124" t="e">
        <f>#REF!</f>
        <v>#REF!</v>
      </c>
      <c r="CL11" s="124" t="e">
        <f>#REF!</f>
        <v>#REF!</v>
      </c>
      <c r="CM11" s="124" t="e">
        <f>#REF!</f>
        <v>#REF!</v>
      </c>
      <c r="CN11" s="124" t="e">
        <f>#REF!</f>
        <v>#REF!</v>
      </c>
      <c r="CO11" s="124" t="e">
        <f>#REF!</f>
        <v>#REF!</v>
      </c>
      <c r="CP11" s="124" t="e">
        <f>#REF!</f>
        <v>#REF!</v>
      </c>
      <c r="CQ11" s="124" t="e">
        <f>#REF!</f>
        <v>#REF!</v>
      </c>
      <c r="CR11" s="124" t="e">
        <f>#REF!</f>
        <v>#REF!</v>
      </c>
      <c r="CS11" s="124" t="e">
        <f>#REF!</f>
        <v>#REF!</v>
      </c>
      <c r="CT11" s="124" t="e">
        <f>#REF!</f>
        <v>#REF!</v>
      </c>
      <c r="CU11" s="124" t="e">
        <f>#REF!</f>
        <v>#REF!</v>
      </c>
      <c r="CV11" s="124" t="e">
        <f>#REF!</f>
        <v>#REF!</v>
      </c>
      <c r="CW11" s="124" t="e">
        <f>#REF!</f>
        <v>#REF!</v>
      </c>
      <c r="CX11" s="124" t="e">
        <f>#REF!</f>
        <v>#REF!</v>
      </c>
      <c r="CY11" s="124" t="e">
        <f>#REF!</f>
        <v>#REF!</v>
      </c>
      <c r="CZ11" s="124" t="e">
        <f>#REF!</f>
        <v>#REF!</v>
      </c>
      <c r="DA11" s="124" t="e">
        <f>#REF!</f>
        <v>#REF!</v>
      </c>
      <c r="DB11" s="124" t="e">
        <f>#REF!</f>
        <v>#REF!</v>
      </c>
      <c r="DC11" s="124" t="e">
        <f>#REF!</f>
        <v>#REF!</v>
      </c>
      <c r="DD11" s="124" t="e">
        <f>#REF!</f>
        <v>#REF!</v>
      </c>
      <c r="DE11" s="124" t="e">
        <f>#REF!</f>
        <v>#REF!</v>
      </c>
      <c r="DF11" s="124" t="e">
        <f>#REF!</f>
        <v>#REF!</v>
      </c>
      <c r="DG11" s="124" t="e">
        <f>#REF!</f>
        <v>#REF!</v>
      </c>
      <c r="DH11" s="125" t="e">
        <f>#REF!</f>
        <v>#REF!</v>
      </c>
      <c r="DI11" s="124" t="e">
        <f>#REF!</f>
        <v>#REF!</v>
      </c>
      <c r="DJ11" s="124" t="e">
        <f>#REF!</f>
        <v>#REF!</v>
      </c>
      <c r="DK11" s="124" t="e">
        <f>#REF!</f>
        <v>#REF!</v>
      </c>
      <c r="DL11" s="124" t="e">
        <f>#REF!</f>
        <v>#REF!</v>
      </c>
      <c r="DM11" s="122" t="e">
        <f>#REF!</f>
        <v>#REF!</v>
      </c>
      <c r="DN11" s="124" t="e">
        <f>#REF!</f>
        <v>#REF!</v>
      </c>
      <c r="DO11" s="124" t="e">
        <f>#REF!</f>
        <v>#REF!</v>
      </c>
      <c r="DP11" s="124" t="e">
        <f>#REF!</f>
        <v>#REF!</v>
      </c>
      <c r="DQ11" s="124" t="e">
        <f>#REF!</f>
        <v>#REF!</v>
      </c>
      <c r="DR11" s="124" t="e">
        <f>#REF!</f>
        <v>#REF!</v>
      </c>
      <c r="DS11" s="124" t="e">
        <f>#REF!</f>
        <v>#REF!</v>
      </c>
      <c r="DT11" s="124" t="e">
        <f>#REF!</f>
        <v>#REF!</v>
      </c>
      <c r="DU11" s="124" t="e">
        <f>#REF!</f>
        <v>#REF!</v>
      </c>
      <c r="DV11" s="124" t="e">
        <f>#REF!</f>
        <v>#REF!</v>
      </c>
      <c r="DW11" s="124" t="e">
        <f>#REF!</f>
        <v>#REF!</v>
      </c>
      <c r="DX11" s="124" t="e">
        <f>#REF!</f>
        <v>#REF!</v>
      </c>
      <c r="DY11" s="124" t="e">
        <f>#REF!</f>
        <v>#REF!</v>
      </c>
      <c r="DZ11" s="124" t="e">
        <f>#REF!</f>
        <v>#REF!</v>
      </c>
      <c r="EA11" s="124" t="e">
        <f>#REF!</f>
        <v>#REF!</v>
      </c>
      <c r="EB11" s="124" t="e">
        <f>#REF!</f>
        <v>#REF!</v>
      </c>
      <c r="EC11" s="124" t="e">
        <f>#REF!</f>
        <v>#REF!</v>
      </c>
      <c r="ED11" s="124" t="e">
        <f>#REF!</f>
        <v>#REF!</v>
      </c>
      <c r="EE11" s="124" t="e">
        <f>#REF!</f>
        <v>#REF!</v>
      </c>
      <c r="EF11" s="124" t="e">
        <f>#REF!</f>
        <v>#REF!</v>
      </c>
      <c r="EG11" s="124" t="e">
        <f>#REF!</f>
        <v>#REF!</v>
      </c>
      <c r="EH11" s="124" t="e">
        <f>#REF!</f>
        <v>#REF!</v>
      </c>
      <c r="EI11" s="124" t="e">
        <f>#REF!</f>
        <v>#REF!</v>
      </c>
      <c r="EJ11" s="124" t="e">
        <f>#REF!</f>
        <v>#REF!</v>
      </c>
      <c r="EK11" s="124" t="e">
        <f>#REF!</f>
        <v>#REF!</v>
      </c>
      <c r="EL11" s="124" t="e">
        <f>#REF!</f>
        <v>#REF!</v>
      </c>
      <c r="EM11" s="124" t="e">
        <f>#REF!</f>
        <v>#REF!</v>
      </c>
      <c r="EN11" s="124" t="e">
        <f>#REF!</f>
        <v>#REF!</v>
      </c>
      <c r="EO11" s="124" t="e">
        <f>#REF!</f>
        <v>#REF!</v>
      </c>
      <c r="EP11" s="124" t="e">
        <f>#REF!</f>
        <v>#REF!</v>
      </c>
      <c r="EQ11" s="124" t="e">
        <f>#REF!</f>
        <v>#REF!</v>
      </c>
      <c r="ER11" s="124" t="e">
        <f>#REF!</f>
        <v>#REF!</v>
      </c>
      <c r="ES11" s="124" t="e">
        <f>#REF!</f>
        <v>#REF!</v>
      </c>
      <c r="ET11" s="124" t="e">
        <f>#REF!</f>
        <v>#REF!</v>
      </c>
      <c r="EU11" s="124" t="e">
        <f>#REF!</f>
        <v>#REF!</v>
      </c>
      <c r="EV11" s="124" t="e">
        <f>#REF!</f>
        <v>#REF!</v>
      </c>
      <c r="EW11" s="124" t="e">
        <f>#REF!</f>
        <v>#REF!</v>
      </c>
      <c r="EX11" s="124" t="e">
        <f>#REF!</f>
        <v>#REF!</v>
      </c>
      <c r="EY11" s="124" t="e">
        <f>#REF!</f>
        <v>#REF!</v>
      </c>
      <c r="EZ11" s="124" t="e">
        <f>#REF!</f>
        <v>#REF!</v>
      </c>
      <c r="FA11" s="124" t="e">
        <f>#REF!</f>
        <v>#REF!</v>
      </c>
      <c r="FB11" s="124" t="e">
        <f>#REF!</f>
        <v>#REF!</v>
      </c>
      <c r="FC11" s="124" t="e">
        <f>#REF!</f>
        <v>#REF!</v>
      </c>
      <c r="FD11" s="124" t="e">
        <f>#REF!</f>
        <v>#REF!</v>
      </c>
      <c r="FE11" s="124" t="e">
        <f>#REF!</f>
        <v>#REF!</v>
      </c>
      <c r="FF11" s="124" t="e">
        <f>#REF!</f>
        <v>#REF!</v>
      </c>
      <c r="FG11" s="124" t="e">
        <f>#REF!</f>
        <v>#REF!</v>
      </c>
      <c r="FH11" s="124" t="e">
        <f>#REF!</f>
        <v>#REF!</v>
      </c>
      <c r="FI11" s="124" t="e">
        <f>#REF!</f>
        <v>#REF!</v>
      </c>
      <c r="FJ11" s="124" t="e">
        <f>#REF!</f>
        <v>#REF!</v>
      </c>
      <c r="FK11" s="124"/>
      <c r="FL11" s="124"/>
      <c r="FM11" s="124"/>
      <c r="FN11" s="124"/>
      <c r="FP11" s="124"/>
      <c r="FQ11" s="124"/>
      <c r="FR11" s="124"/>
    </row>
    <row r="12" spans="1:174" x14ac:dyDescent="0.35">
      <c r="A12" s="122" t="s">
        <v>260</v>
      </c>
      <c r="B12" s="125" t="e">
        <f>#REF!</f>
        <v>#REF!</v>
      </c>
      <c r="C12" s="124" t="e">
        <f>#REF!</f>
        <v>#REF!</v>
      </c>
      <c r="D12" s="124" t="e">
        <f>#REF!</f>
        <v>#REF!</v>
      </c>
      <c r="E12" s="124" t="e">
        <f>#REF!</f>
        <v>#REF!</v>
      </c>
      <c r="F12" s="124" t="e">
        <f>#REF!</f>
        <v>#REF!</v>
      </c>
      <c r="G12" s="122" t="e">
        <f>#REF!</f>
        <v>#REF!</v>
      </c>
      <c r="H12" s="124" t="e">
        <f>#REF!</f>
        <v>#REF!</v>
      </c>
      <c r="I12" s="124" t="e">
        <f>#REF!</f>
        <v>#REF!</v>
      </c>
      <c r="J12" s="124" t="e">
        <f>#REF!</f>
        <v>#REF!</v>
      </c>
      <c r="K12" s="124" t="e">
        <f>#REF!</f>
        <v>#REF!</v>
      </c>
      <c r="L12" s="124" t="e">
        <f>#REF!</f>
        <v>#REF!</v>
      </c>
      <c r="M12" s="124" t="e">
        <f>#REF!</f>
        <v>#REF!</v>
      </c>
      <c r="N12" s="124" t="e">
        <f>#REF!</f>
        <v>#REF!</v>
      </c>
      <c r="O12" s="124" t="e">
        <f>#REF!</f>
        <v>#REF!</v>
      </c>
      <c r="P12" s="124" t="e">
        <f>#REF!</f>
        <v>#REF!</v>
      </c>
      <c r="Q12" s="124" t="e">
        <f>#REF!</f>
        <v>#REF!</v>
      </c>
      <c r="R12" s="124" t="e">
        <f>#REF!</f>
        <v>#REF!</v>
      </c>
      <c r="S12" s="124" t="e">
        <f>#REF!</f>
        <v>#REF!</v>
      </c>
      <c r="T12" s="124" t="e">
        <f>#REF!</f>
        <v>#REF!</v>
      </c>
      <c r="U12" s="124" t="e">
        <f>#REF!</f>
        <v>#REF!</v>
      </c>
      <c r="V12" s="124" t="e">
        <f>#REF!</f>
        <v>#REF!</v>
      </c>
      <c r="W12" s="124" t="e">
        <f>#REF!</f>
        <v>#REF!</v>
      </c>
      <c r="X12" s="124" t="e">
        <f>#REF!</f>
        <v>#REF!</v>
      </c>
      <c r="Y12" s="124" t="e">
        <f>#REF!</f>
        <v>#REF!</v>
      </c>
      <c r="Z12" s="124" t="e">
        <f>#REF!</f>
        <v>#REF!</v>
      </c>
      <c r="AA12" s="124" t="e">
        <f>#REF!</f>
        <v>#REF!</v>
      </c>
      <c r="AB12" s="124" t="e">
        <f>#REF!</f>
        <v>#REF!</v>
      </c>
      <c r="AC12" s="124" t="e">
        <f>#REF!</f>
        <v>#REF!</v>
      </c>
      <c r="AD12" s="124" t="e">
        <f>#REF!</f>
        <v>#REF!</v>
      </c>
      <c r="AE12" s="124" t="e">
        <f>#REF!</f>
        <v>#REF!</v>
      </c>
      <c r="AF12" s="124" t="e">
        <f>#REF!</f>
        <v>#REF!</v>
      </c>
      <c r="AG12" s="124" t="e">
        <f>#REF!</f>
        <v>#REF!</v>
      </c>
      <c r="AH12" s="124" t="e">
        <f>#REF!</f>
        <v>#REF!</v>
      </c>
      <c r="AI12" s="124" t="e">
        <f>#REF!</f>
        <v>#REF!</v>
      </c>
      <c r="AJ12" s="124" t="e">
        <f>#REF!</f>
        <v>#REF!</v>
      </c>
      <c r="AK12" s="124" t="e">
        <f>#REF!</f>
        <v>#REF!</v>
      </c>
      <c r="AL12" s="124" t="e">
        <f>#REF!</f>
        <v>#REF!</v>
      </c>
      <c r="AM12" s="124" t="e">
        <f>#REF!</f>
        <v>#REF!</v>
      </c>
      <c r="AN12" s="124" t="e">
        <f>#REF!</f>
        <v>#REF!</v>
      </c>
      <c r="AO12" s="124" t="e">
        <f>#REF!</f>
        <v>#REF!</v>
      </c>
      <c r="AP12" s="124" t="e">
        <f>#REF!</f>
        <v>#REF!</v>
      </c>
      <c r="AQ12" s="124" t="e">
        <f>#REF!</f>
        <v>#REF!</v>
      </c>
      <c r="AR12" s="124" t="e">
        <f>#REF!</f>
        <v>#REF!</v>
      </c>
      <c r="AS12" s="124" t="e">
        <f>#REF!</f>
        <v>#REF!</v>
      </c>
      <c r="AT12" s="124" t="e">
        <f>#REF!</f>
        <v>#REF!</v>
      </c>
      <c r="AU12" s="124" t="e">
        <f>#REF!</f>
        <v>#REF!</v>
      </c>
      <c r="AV12" s="124" t="e">
        <f>#REF!</f>
        <v>#REF!</v>
      </c>
      <c r="AW12" s="124" t="e">
        <f>#REF!</f>
        <v>#REF!</v>
      </c>
      <c r="AX12" s="124" t="e">
        <f>#REF!</f>
        <v>#REF!</v>
      </c>
      <c r="AY12" s="124" t="e">
        <f>#REF!</f>
        <v>#REF!</v>
      </c>
      <c r="AZ12" s="124" t="e">
        <f>#REF!</f>
        <v>#REF!</v>
      </c>
      <c r="BA12" s="124" t="e">
        <f>#REF!</f>
        <v>#REF!</v>
      </c>
      <c r="BB12" s="124" t="e">
        <f>#REF!</f>
        <v>#REF!</v>
      </c>
      <c r="BC12" s="124" t="e">
        <f>#REF!</f>
        <v>#REF!</v>
      </c>
      <c r="BD12" s="124" t="e">
        <f>#REF!</f>
        <v>#REF!</v>
      </c>
      <c r="BE12" s="125" t="e">
        <f>#REF!</f>
        <v>#REF!</v>
      </c>
      <c r="BF12" s="124" t="e">
        <f>#REF!</f>
        <v>#REF!</v>
      </c>
      <c r="BG12" s="124" t="e">
        <f>#REF!</f>
        <v>#REF!</v>
      </c>
      <c r="BH12" s="124" t="e">
        <f>#REF!</f>
        <v>#REF!</v>
      </c>
      <c r="BI12" s="124" t="e">
        <f>#REF!</f>
        <v>#REF!</v>
      </c>
      <c r="BJ12" s="122" t="e">
        <f>#REF!</f>
        <v>#REF!</v>
      </c>
      <c r="BK12" s="124" t="e">
        <f>#REF!</f>
        <v>#REF!</v>
      </c>
      <c r="BL12" s="124" t="e">
        <f>#REF!</f>
        <v>#REF!</v>
      </c>
      <c r="BM12" s="124" t="e">
        <f>#REF!</f>
        <v>#REF!</v>
      </c>
      <c r="BN12" s="124" t="e">
        <f>#REF!</f>
        <v>#REF!</v>
      </c>
      <c r="BO12" s="124" t="e">
        <f>#REF!</f>
        <v>#REF!</v>
      </c>
      <c r="BP12" s="124" t="e">
        <f>#REF!</f>
        <v>#REF!</v>
      </c>
      <c r="BQ12" s="124" t="e">
        <f>#REF!</f>
        <v>#REF!</v>
      </c>
      <c r="BR12" s="124" t="e">
        <f>#REF!</f>
        <v>#REF!</v>
      </c>
      <c r="BS12" s="124" t="e">
        <f>#REF!</f>
        <v>#REF!</v>
      </c>
      <c r="BT12" s="124" t="e">
        <f>#REF!</f>
        <v>#REF!</v>
      </c>
      <c r="BU12" s="124" t="e">
        <f>#REF!</f>
        <v>#REF!</v>
      </c>
      <c r="BV12" s="124" t="e">
        <f>#REF!</f>
        <v>#REF!</v>
      </c>
      <c r="BW12" s="124" t="e">
        <f>#REF!</f>
        <v>#REF!</v>
      </c>
      <c r="BX12" s="124" t="e">
        <f>#REF!</f>
        <v>#REF!</v>
      </c>
      <c r="BY12" s="124" t="e">
        <f>#REF!</f>
        <v>#REF!</v>
      </c>
      <c r="BZ12" s="124" t="e">
        <f>#REF!</f>
        <v>#REF!</v>
      </c>
      <c r="CA12" s="124" t="e">
        <f>#REF!</f>
        <v>#REF!</v>
      </c>
      <c r="CB12" s="124" t="e">
        <f>#REF!</f>
        <v>#REF!</v>
      </c>
      <c r="CC12" s="124" t="e">
        <f>#REF!</f>
        <v>#REF!</v>
      </c>
      <c r="CD12" s="124" t="e">
        <f>#REF!</f>
        <v>#REF!</v>
      </c>
      <c r="CE12" s="124" t="e">
        <f>#REF!</f>
        <v>#REF!</v>
      </c>
      <c r="CF12" s="124" t="e">
        <f>#REF!</f>
        <v>#REF!</v>
      </c>
      <c r="CG12" s="124" t="e">
        <f>#REF!</f>
        <v>#REF!</v>
      </c>
      <c r="CH12" s="124" t="e">
        <f>#REF!</f>
        <v>#REF!</v>
      </c>
      <c r="CI12" s="124" t="e">
        <f>#REF!</f>
        <v>#REF!</v>
      </c>
      <c r="CJ12" s="124" t="e">
        <f>#REF!</f>
        <v>#REF!</v>
      </c>
      <c r="CK12" s="124" t="e">
        <f>#REF!</f>
        <v>#REF!</v>
      </c>
      <c r="CL12" s="124" t="e">
        <f>#REF!</f>
        <v>#REF!</v>
      </c>
      <c r="CM12" s="124" t="e">
        <f>#REF!</f>
        <v>#REF!</v>
      </c>
      <c r="CN12" s="124" t="e">
        <f>#REF!</f>
        <v>#REF!</v>
      </c>
      <c r="CO12" s="124" t="e">
        <f>#REF!</f>
        <v>#REF!</v>
      </c>
      <c r="CP12" s="124" t="e">
        <f>#REF!</f>
        <v>#REF!</v>
      </c>
      <c r="CQ12" s="124" t="e">
        <f>#REF!</f>
        <v>#REF!</v>
      </c>
      <c r="CR12" s="124" t="e">
        <f>#REF!</f>
        <v>#REF!</v>
      </c>
      <c r="CS12" s="124" t="e">
        <f>#REF!</f>
        <v>#REF!</v>
      </c>
      <c r="CT12" s="124" t="e">
        <f>#REF!</f>
        <v>#REF!</v>
      </c>
      <c r="CU12" s="124" t="e">
        <f>#REF!</f>
        <v>#REF!</v>
      </c>
      <c r="CV12" s="124" t="e">
        <f>#REF!</f>
        <v>#REF!</v>
      </c>
      <c r="CW12" s="124" t="e">
        <f>#REF!</f>
        <v>#REF!</v>
      </c>
      <c r="CX12" s="124" t="e">
        <f>#REF!</f>
        <v>#REF!</v>
      </c>
      <c r="CY12" s="124" t="e">
        <f>#REF!</f>
        <v>#REF!</v>
      </c>
      <c r="CZ12" s="124" t="e">
        <f>#REF!</f>
        <v>#REF!</v>
      </c>
      <c r="DA12" s="124" t="e">
        <f>#REF!</f>
        <v>#REF!</v>
      </c>
      <c r="DB12" s="124" t="e">
        <f>#REF!</f>
        <v>#REF!</v>
      </c>
      <c r="DC12" s="124" t="e">
        <f>#REF!</f>
        <v>#REF!</v>
      </c>
      <c r="DD12" s="124" t="e">
        <f>#REF!</f>
        <v>#REF!</v>
      </c>
      <c r="DE12" s="124" t="e">
        <f>#REF!</f>
        <v>#REF!</v>
      </c>
      <c r="DF12" s="124" t="e">
        <f>#REF!</f>
        <v>#REF!</v>
      </c>
      <c r="DG12" s="124" t="e">
        <f>#REF!</f>
        <v>#REF!</v>
      </c>
      <c r="DH12" s="125" t="e">
        <f>#REF!</f>
        <v>#REF!</v>
      </c>
      <c r="DI12" s="124" t="e">
        <f>#REF!</f>
        <v>#REF!</v>
      </c>
      <c r="DJ12" s="124" t="e">
        <f>#REF!</f>
        <v>#REF!</v>
      </c>
      <c r="DK12" s="124" t="e">
        <f>#REF!</f>
        <v>#REF!</v>
      </c>
      <c r="DL12" s="124" t="e">
        <f>#REF!</f>
        <v>#REF!</v>
      </c>
      <c r="DM12" s="122" t="e">
        <f>#REF!</f>
        <v>#REF!</v>
      </c>
      <c r="DN12" s="124" t="e">
        <f>#REF!</f>
        <v>#REF!</v>
      </c>
      <c r="DO12" s="124" t="e">
        <f>#REF!</f>
        <v>#REF!</v>
      </c>
      <c r="DP12" s="124" t="e">
        <f>#REF!</f>
        <v>#REF!</v>
      </c>
      <c r="DQ12" s="124" t="e">
        <f>#REF!</f>
        <v>#REF!</v>
      </c>
      <c r="DR12" s="124" t="e">
        <f>#REF!</f>
        <v>#REF!</v>
      </c>
      <c r="DS12" s="124" t="e">
        <f>#REF!</f>
        <v>#REF!</v>
      </c>
      <c r="DT12" s="124" t="e">
        <f>#REF!</f>
        <v>#REF!</v>
      </c>
      <c r="DU12" s="124" t="e">
        <f>#REF!</f>
        <v>#REF!</v>
      </c>
      <c r="DV12" s="124" t="e">
        <f>#REF!</f>
        <v>#REF!</v>
      </c>
      <c r="DW12" s="124" t="e">
        <f>#REF!</f>
        <v>#REF!</v>
      </c>
      <c r="DX12" s="124" t="e">
        <f>#REF!</f>
        <v>#REF!</v>
      </c>
      <c r="DY12" s="124" t="e">
        <f>#REF!</f>
        <v>#REF!</v>
      </c>
      <c r="DZ12" s="124" t="e">
        <f>#REF!</f>
        <v>#REF!</v>
      </c>
      <c r="EA12" s="124" t="e">
        <f>#REF!</f>
        <v>#REF!</v>
      </c>
      <c r="EB12" s="124" t="e">
        <f>#REF!</f>
        <v>#REF!</v>
      </c>
      <c r="EC12" s="124" t="e">
        <f>#REF!</f>
        <v>#REF!</v>
      </c>
      <c r="ED12" s="124" t="e">
        <f>#REF!</f>
        <v>#REF!</v>
      </c>
      <c r="EE12" s="124" t="e">
        <f>#REF!</f>
        <v>#REF!</v>
      </c>
      <c r="EF12" s="124" t="e">
        <f>#REF!</f>
        <v>#REF!</v>
      </c>
      <c r="EG12" s="124" t="e">
        <f>#REF!</f>
        <v>#REF!</v>
      </c>
      <c r="EH12" s="124" t="e">
        <f>#REF!</f>
        <v>#REF!</v>
      </c>
      <c r="EI12" s="124" t="e">
        <f>#REF!</f>
        <v>#REF!</v>
      </c>
      <c r="EJ12" s="124" t="e">
        <f>#REF!</f>
        <v>#REF!</v>
      </c>
      <c r="EK12" s="124" t="e">
        <f>#REF!</f>
        <v>#REF!</v>
      </c>
      <c r="EL12" s="124" t="e">
        <f>#REF!</f>
        <v>#REF!</v>
      </c>
      <c r="EM12" s="124" t="e">
        <f>#REF!</f>
        <v>#REF!</v>
      </c>
      <c r="EN12" s="124" t="e">
        <f>#REF!</f>
        <v>#REF!</v>
      </c>
      <c r="EO12" s="124" t="e">
        <f>#REF!</f>
        <v>#REF!</v>
      </c>
      <c r="EP12" s="124" t="e">
        <f>#REF!</f>
        <v>#REF!</v>
      </c>
      <c r="EQ12" s="124" t="e">
        <f>#REF!</f>
        <v>#REF!</v>
      </c>
      <c r="ER12" s="124" t="e">
        <f>#REF!</f>
        <v>#REF!</v>
      </c>
      <c r="ES12" s="124" t="e">
        <f>#REF!</f>
        <v>#REF!</v>
      </c>
      <c r="ET12" s="124" t="e">
        <f>#REF!</f>
        <v>#REF!</v>
      </c>
      <c r="EU12" s="124" t="e">
        <f>#REF!</f>
        <v>#REF!</v>
      </c>
      <c r="EV12" s="124" t="e">
        <f>#REF!</f>
        <v>#REF!</v>
      </c>
      <c r="EW12" s="124" t="e">
        <f>#REF!</f>
        <v>#REF!</v>
      </c>
      <c r="EX12" s="124" t="e">
        <f>#REF!</f>
        <v>#REF!</v>
      </c>
      <c r="EY12" s="124" t="e">
        <f>#REF!</f>
        <v>#REF!</v>
      </c>
      <c r="EZ12" s="124" t="e">
        <f>#REF!</f>
        <v>#REF!</v>
      </c>
      <c r="FA12" s="124" t="e">
        <f>#REF!</f>
        <v>#REF!</v>
      </c>
      <c r="FB12" s="124" t="e">
        <f>#REF!</f>
        <v>#REF!</v>
      </c>
      <c r="FC12" s="124" t="e">
        <f>#REF!</f>
        <v>#REF!</v>
      </c>
      <c r="FD12" s="124" t="e">
        <f>#REF!</f>
        <v>#REF!</v>
      </c>
      <c r="FE12" s="124" t="e">
        <f>#REF!</f>
        <v>#REF!</v>
      </c>
      <c r="FF12" s="124" t="e">
        <f>#REF!</f>
        <v>#REF!</v>
      </c>
      <c r="FG12" s="124" t="e">
        <f>#REF!</f>
        <v>#REF!</v>
      </c>
      <c r="FH12" s="124" t="e">
        <f>#REF!</f>
        <v>#REF!</v>
      </c>
      <c r="FI12" s="124" t="e">
        <f>#REF!</f>
        <v>#REF!</v>
      </c>
      <c r="FJ12" s="124" t="e">
        <f>#REF!</f>
        <v>#REF!</v>
      </c>
      <c r="FK12" s="124"/>
      <c r="FL12" s="124"/>
      <c r="FM12" s="124"/>
      <c r="FN12" s="124"/>
      <c r="FP12" s="124"/>
      <c r="FQ12" s="124"/>
      <c r="FR12" s="124"/>
    </row>
    <row r="13" spans="1:174" x14ac:dyDescent="0.35">
      <c r="A13" s="122" t="s">
        <v>67</v>
      </c>
      <c r="B13" s="125" t="e">
        <f>#REF!</f>
        <v>#REF!</v>
      </c>
      <c r="C13" s="124" t="e">
        <f>#REF!</f>
        <v>#REF!</v>
      </c>
      <c r="D13" s="124" t="e">
        <f>#REF!</f>
        <v>#REF!</v>
      </c>
      <c r="E13" s="124" t="e">
        <f>#REF!</f>
        <v>#REF!</v>
      </c>
      <c r="F13" s="124" t="e">
        <f>#REF!</f>
        <v>#REF!</v>
      </c>
      <c r="G13" s="122" t="e">
        <f>#REF!</f>
        <v>#REF!</v>
      </c>
      <c r="H13" s="124" t="e">
        <f>#REF!</f>
        <v>#REF!</v>
      </c>
      <c r="I13" s="124" t="e">
        <f>#REF!</f>
        <v>#REF!</v>
      </c>
      <c r="J13" s="124" t="e">
        <f>#REF!</f>
        <v>#REF!</v>
      </c>
      <c r="K13" s="124" t="e">
        <f>#REF!</f>
        <v>#REF!</v>
      </c>
      <c r="L13" s="124" t="e">
        <f>#REF!</f>
        <v>#REF!</v>
      </c>
      <c r="M13" s="124" t="e">
        <f>#REF!</f>
        <v>#REF!</v>
      </c>
      <c r="N13" s="124" t="e">
        <f>#REF!</f>
        <v>#REF!</v>
      </c>
      <c r="O13" s="124" t="e">
        <f>#REF!</f>
        <v>#REF!</v>
      </c>
      <c r="P13" s="124" t="e">
        <f>#REF!</f>
        <v>#REF!</v>
      </c>
      <c r="Q13" s="124" t="e">
        <f>#REF!</f>
        <v>#REF!</v>
      </c>
      <c r="R13" s="124" t="e">
        <f>#REF!</f>
        <v>#REF!</v>
      </c>
      <c r="S13" s="124" t="e">
        <f>#REF!</f>
        <v>#REF!</v>
      </c>
      <c r="T13" s="124" t="e">
        <f>#REF!</f>
        <v>#REF!</v>
      </c>
      <c r="U13" s="124" t="e">
        <f>#REF!</f>
        <v>#REF!</v>
      </c>
      <c r="V13" s="124" t="e">
        <f>#REF!</f>
        <v>#REF!</v>
      </c>
      <c r="W13" s="124" t="e">
        <f>#REF!</f>
        <v>#REF!</v>
      </c>
      <c r="X13" s="124" t="e">
        <f>#REF!</f>
        <v>#REF!</v>
      </c>
      <c r="Y13" s="124" t="e">
        <f>#REF!</f>
        <v>#REF!</v>
      </c>
      <c r="Z13" s="124" t="e">
        <f>#REF!</f>
        <v>#REF!</v>
      </c>
      <c r="AA13" s="124" t="e">
        <f>#REF!</f>
        <v>#REF!</v>
      </c>
      <c r="AB13" s="124" t="e">
        <f>#REF!</f>
        <v>#REF!</v>
      </c>
      <c r="AC13" s="124" t="e">
        <f>#REF!</f>
        <v>#REF!</v>
      </c>
      <c r="AD13" s="124" t="e">
        <f>#REF!</f>
        <v>#REF!</v>
      </c>
      <c r="AE13" s="124" t="e">
        <f>#REF!</f>
        <v>#REF!</v>
      </c>
      <c r="AF13" s="124" t="e">
        <f>#REF!</f>
        <v>#REF!</v>
      </c>
      <c r="AG13" s="124" t="e">
        <f>#REF!</f>
        <v>#REF!</v>
      </c>
      <c r="AH13" s="124" t="e">
        <f>#REF!</f>
        <v>#REF!</v>
      </c>
      <c r="AI13" s="124" t="e">
        <f>#REF!</f>
        <v>#REF!</v>
      </c>
      <c r="AJ13" s="124" t="e">
        <f>#REF!</f>
        <v>#REF!</v>
      </c>
      <c r="AK13" s="124" t="e">
        <f>#REF!</f>
        <v>#REF!</v>
      </c>
      <c r="AL13" s="124" t="e">
        <f>#REF!</f>
        <v>#REF!</v>
      </c>
      <c r="AM13" s="124" t="e">
        <f>#REF!</f>
        <v>#REF!</v>
      </c>
      <c r="AN13" s="124" t="e">
        <f>#REF!</f>
        <v>#REF!</v>
      </c>
      <c r="AO13" s="124" t="e">
        <f>#REF!</f>
        <v>#REF!</v>
      </c>
      <c r="AP13" s="124" t="e">
        <f>#REF!</f>
        <v>#REF!</v>
      </c>
      <c r="AQ13" s="124" t="e">
        <f>#REF!</f>
        <v>#REF!</v>
      </c>
      <c r="AR13" s="124" t="e">
        <f>#REF!</f>
        <v>#REF!</v>
      </c>
      <c r="AS13" s="124" t="e">
        <f>#REF!</f>
        <v>#REF!</v>
      </c>
      <c r="AT13" s="124" t="e">
        <f>#REF!</f>
        <v>#REF!</v>
      </c>
      <c r="AU13" s="124" t="e">
        <f>#REF!</f>
        <v>#REF!</v>
      </c>
      <c r="AV13" s="124" t="e">
        <f>#REF!</f>
        <v>#REF!</v>
      </c>
      <c r="AW13" s="124" t="e">
        <f>#REF!</f>
        <v>#REF!</v>
      </c>
      <c r="AX13" s="124" t="e">
        <f>#REF!</f>
        <v>#REF!</v>
      </c>
      <c r="AY13" s="124" t="e">
        <f>#REF!</f>
        <v>#REF!</v>
      </c>
      <c r="AZ13" s="124" t="e">
        <f>#REF!</f>
        <v>#REF!</v>
      </c>
      <c r="BA13" s="124" t="e">
        <f>#REF!</f>
        <v>#REF!</v>
      </c>
      <c r="BB13" s="124" t="e">
        <f>#REF!</f>
        <v>#REF!</v>
      </c>
      <c r="BC13" s="124" t="e">
        <f>#REF!</f>
        <v>#REF!</v>
      </c>
      <c r="BD13" s="124" t="e">
        <f>#REF!</f>
        <v>#REF!</v>
      </c>
      <c r="BE13" s="125" t="e">
        <f>#REF!</f>
        <v>#REF!</v>
      </c>
      <c r="BF13" s="124" t="e">
        <f>#REF!</f>
        <v>#REF!</v>
      </c>
      <c r="BG13" s="124" t="e">
        <f>#REF!</f>
        <v>#REF!</v>
      </c>
      <c r="BH13" s="124" t="e">
        <f>#REF!</f>
        <v>#REF!</v>
      </c>
      <c r="BI13" s="124" t="e">
        <f>#REF!</f>
        <v>#REF!</v>
      </c>
      <c r="BJ13" s="122" t="e">
        <f>#REF!</f>
        <v>#REF!</v>
      </c>
      <c r="BK13" s="124" t="e">
        <f>#REF!</f>
        <v>#REF!</v>
      </c>
      <c r="BL13" s="124" t="e">
        <f>#REF!</f>
        <v>#REF!</v>
      </c>
      <c r="BM13" s="124" t="e">
        <f>#REF!</f>
        <v>#REF!</v>
      </c>
      <c r="BN13" s="124" t="e">
        <f>#REF!</f>
        <v>#REF!</v>
      </c>
      <c r="BO13" s="124" t="e">
        <f>#REF!</f>
        <v>#REF!</v>
      </c>
      <c r="BP13" s="124" t="e">
        <f>#REF!</f>
        <v>#REF!</v>
      </c>
      <c r="BQ13" s="124" t="e">
        <f>#REF!</f>
        <v>#REF!</v>
      </c>
      <c r="BR13" s="124" t="e">
        <f>#REF!</f>
        <v>#REF!</v>
      </c>
      <c r="BS13" s="124" t="e">
        <f>#REF!</f>
        <v>#REF!</v>
      </c>
      <c r="BT13" s="124" t="e">
        <f>#REF!</f>
        <v>#REF!</v>
      </c>
      <c r="BU13" s="124" t="e">
        <f>#REF!</f>
        <v>#REF!</v>
      </c>
      <c r="BV13" s="124" t="e">
        <f>#REF!</f>
        <v>#REF!</v>
      </c>
      <c r="BW13" s="124" t="e">
        <f>#REF!</f>
        <v>#REF!</v>
      </c>
      <c r="BX13" s="124" t="e">
        <f>#REF!</f>
        <v>#REF!</v>
      </c>
      <c r="BY13" s="124" t="e">
        <f>#REF!</f>
        <v>#REF!</v>
      </c>
      <c r="BZ13" s="124" t="e">
        <f>#REF!</f>
        <v>#REF!</v>
      </c>
      <c r="CA13" s="124" t="e">
        <f>#REF!</f>
        <v>#REF!</v>
      </c>
      <c r="CB13" s="124" t="e">
        <f>#REF!</f>
        <v>#REF!</v>
      </c>
      <c r="CC13" s="124" t="e">
        <f>#REF!</f>
        <v>#REF!</v>
      </c>
      <c r="CD13" s="124" t="e">
        <f>#REF!</f>
        <v>#REF!</v>
      </c>
      <c r="CE13" s="124" t="e">
        <f>#REF!</f>
        <v>#REF!</v>
      </c>
      <c r="CF13" s="124" t="e">
        <f>#REF!</f>
        <v>#REF!</v>
      </c>
      <c r="CG13" s="124" t="e">
        <f>#REF!</f>
        <v>#REF!</v>
      </c>
      <c r="CH13" s="124" t="e">
        <f>#REF!</f>
        <v>#REF!</v>
      </c>
      <c r="CI13" s="124" t="e">
        <f>#REF!</f>
        <v>#REF!</v>
      </c>
      <c r="CJ13" s="124" t="e">
        <f>#REF!</f>
        <v>#REF!</v>
      </c>
      <c r="CK13" s="124" t="e">
        <f>#REF!</f>
        <v>#REF!</v>
      </c>
      <c r="CL13" s="124" t="e">
        <f>#REF!</f>
        <v>#REF!</v>
      </c>
      <c r="CM13" s="124" t="e">
        <f>#REF!</f>
        <v>#REF!</v>
      </c>
      <c r="CN13" s="124" t="e">
        <f>#REF!</f>
        <v>#REF!</v>
      </c>
      <c r="CO13" s="124" t="e">
        <f>#REF!</f>
        <v>#REF!</v>
      </c>
      <c r="CP13" s="124" t="e">
        <f>#REF!</f>
        <v>#REF!</v>
      </c>
      <c r="CQ13" s="124" t="e">
        <f>#REF!</f>
        <v>#REF!</v>
      </c>
      <c r="CR13" s="124" t="e">
        <f>#REF!</f>
        <v>#REF!</v>
      </c>
      <c r="CS13" s="124" t="e">
        <f>#REF!</f>
        <v>#REF!</v>
      </c>
      <c r="CT13" s="124" t="e">
        <f>#REF!</f>
        <v>#REF!</v>
      </c>
      <c r="CU13" s="124" t="e">
        <f>#REF!</f>
        <v>#REF!</v>
      </c>
      <c r="CV13" s="124" t="e">
        <f>#REF!</f>
        <v>#REF!</v>
      </c>
      <c r="CW13" s="124" t="e">
        <f>#REF!</f>
        <v>#REF!</v>
      </c>
      <c r="CX13" s="124" t="e">
        <f>#REF!</f>
        <v>#REF!</v>
      </c>
      <c r="CY13" s="124" t="e">
        <f>#REF!</f>
        <v>#REF!</v>
      </c>
      <c r="CZ13" s="124" t="e">
        <f>#REF!</f>
        <v>#REF!</v>
      </c>
      <c r="DA13" s="124" t="e">
        <f>#REF!</f>
        <v>#REF!</v>
      </c>
      <c r="DB13" s="124" t="e">
        <f>#REF!</f>
        <v>#REF!</v>
      </c>
      <c r="DC13" s="124" t="e">
        <f>#REF!</f>
        <v>#REF!</v>
      </c>
      <c r="DD13" s="124" t="e">
        <f>#REF!</f>
        <v>#REF!</v>
      </c>
      <c r="DE13" s="124" t="e">
        <f>#REF!</f>
        <v>#REF!</v>
      </c>
      <c r="DF13" s="124" t="e">
        <f>#REF!</f>
        <v>#REF!</v>
      </c>
      <c r="DG13" s="124" t="e">
        <f>#REF!</f>
        <v>#REF!</v>
      </c>
      <c r="DH13" s="125" t="e">
        <f>#REF!</f>
        <v>#REF!</v>
      </c>
      <c r="DI13" s="124" t="e">
        <f>#REF!</f>
        <v>#REF!</v>
      </c>
      <c r="DJ13" s="124" t="e">
        <f>#REF!</f>
        <v>#REF!</v>
      </c>
      <c r="DK13" s="124" t="e">
        <f>#REF!</f>
        <v>#REF!</v>
      </c>
      <c r="DL13" s="124" t="e">
        <f>#REF!</f>
        <v>#REF!</v>
      </c>
      <c r="DM13" s="122" t="e">
        <f>#REF!</f>
        <v>#REF!</v>
      </c>
      <c r="DN13" s="124" t="e">
        <f>#REF!</f>
        <v>#REF!</v>
      </c>
      <c r="DO13" s="124" t="e">
        <f>#REF!</f>
        <v>#REF!</v>
      </c>
      <c r="DP13" s="124" t="e">
        <f>#REF!</f>
        <v>#REF!</v>
      </c>
      <c r="DQ13" s="124" t="e">
        <f>#REF!</f>
        <v>#REF!</v>
      </c>
      <c r="DR13" s="124" t="e">
        <f>#REF!</f>
        <v>#REF!</v>
      </c>
      <c r="DS13" s="124" t="e">
        <f>#REF!</f>
        <v>#REF!</v>
      </c>
      <c r="DT13" s="124" t="e">
        <f>#REF!</f>
        <v>#REF!</v>
      </c>
      <c r="DU13" s="124" t="e">
        <f>#REF!</f>
        <v>#REF!</v>
      </c>
      <c r="DV13" s="124" t="e">
        <f>#REF!</f>
        <v>#REF!</v>
      </c>
      <c r="DW13" s="124" t="e">
        <f>#REF!</f>
        <v>#REF!</v>
      </c>
      <c r="DX13" s="124" t="e">
        <f>#REF!</f>
        <v>#REF!</v>
      </c>
      <c r="DY13" s="124" t="e">
        <f>#REF!</f>
        <v>#REF!</v>
      </c>
      <c r="DZ13" s="124" t="e">
        <f>#REF!</f>
        <v>#REF!</v>
      </c>
      <c r="EA13" s="124" t="e">
        <f>#REF!</f>
        <v>#REF!</v>
      </c>
      <c r="EB13" s="124" t="e">
        <f>#REF!</f>
        <v>#REF!</v>
      </c>
      <c r="EC13" s="124" t="e">
        <f>#REF!</f>
        <v>#REF!</v>
      </c>
      <c r="ED13" s="124" t="e">
        <f>#REF!</f>
        <v>#REF!</v>
      </c>
      <c r="EE13" s="124" t="e">
        <f>#REF!</f>
        <v>#REF!</v>
      </c>
      <c r="EF13" s="124" t="e">
        <f>#REF!</f>
        <v>#REF!</v>
      </c>
      <c r="EG13" s="124" t="e">
        <f>#REF!</f>
        <v>#REF!</v>
      </c>
      <c r="EH13" s="124" t="e">
        <f>#REF!</f>
        <v>#REF!</v>
      </c>
      <c r="EI13" s="124" t="e">
        <f>#REF!</f>
        <v>#REF!</v>
      </c>
      <c r="EJ13" s="124" t="e">
        <f>#REF!</f>
        <v>#REF!</v>
      </c>
      <c r="EK13" s="124" t="e">
        <f>#REF!</f>
        <v>#REF!</v>
      </c>
      <c r="EL13" s="124" t="e">
        <f>#REF!</f>
        <v>#REF!</v>
      </c>
      <c r="EM13" s="124" t="e">
        <f>#REF!</f>
        <v>#REF!</v>
      </c>
      <c r="EN13" s="124" t="e">
        <f>#REF!</f>
        <v>#REF!</v>
      </c>
      <c r="EO13" s="124" t="e">
        <f>#REF!</f>
        <v>#REF!</v>
      </c>
      <c r="EP13" s="124" t="e">
        <f>#REF!</f>
        <v>#REF!</v>
      </c>
      <c r="EQ13" s="124" t="e">
        <f>#REF!</f>
        <v>#REF!</v>
      </c>
      <c r="ER13" s="124" t="e">
        <f>#REF!</f>
        <v>#REF!</v>
      </c>
      <c r="ES13" s="124" t="e">
        <f>#REF!</f>
        <v>#REF!</v>
      </c>
      <c r="ET13" s="124" t="e">
        <f>#REF!</f>
        <v>#REF!</v>
      </c>
      <c r="EU13" s="124" t="e">
        <f>#REF!</f>
        <v>#REF!</v>
      </c>
      <c r="EV13" s="124" t="e">
        <f>#REF!</f>
        <v>#REF!</v>
      </c>
      <c r="EW13" s="124" t="e">
        <f>#REF!</f>
        <v>#REF!</v>
      </c>
      <c r="EX13" s="124" t="e">
        <f>#REF!</f>
        <v>#REF!</v>
      </c>
      <c r="EY13" s="124" t="e">
        <f>#REF!</f>
        <v>#REF!</v>
      </c>
      <c r="EZ13" s="124" t="e">
        <f>#REF!</f>
        <v>#REF!</v>
      </c>
      <c r="FA13" s="124" t="e">
        <f>#REF!</f>
        <v>#REF!</v>
      </c>
      <c r="FB13" s="124" t="e">
        <f>#REF!</f>
        <v>#REF!</v>
      </c>
      <c r="FC13" s="124" t="e">
        <f>#REF!</f>
        <v>#REF!</v>
      </c>
      <c r="FD13" s="124" t="e">
        <f>#REF!</f>
        <v>#REF!</v>
      </c>
      <c r="FE13" s="124" t="e">
        <f>#REF!</f>
        <v>#REF!</v>
      </c>
      <c r="FF13" s="124" t="e">
        <f>#REF!</f>
        <v>#REF!</v>
      </c>
      <c r="FG13" s="124" t="e">
        <f>#REF!</f>
        <v>#REF!</v>
      </c>
      <c r="FH13" s="124" t="e">
        <f>#REF!</f>
        <v>#REF!</v>
      </c>
      <c r="FI13" s="124" t="e">
        <f>#REF!</f>
        <v>#REF!</v>
      </c>
      <c r="FJ13" s="124" t="e">
        <f>#REF!</f>
        <v>#REF!</v>
      </c>
      <c r="FK13" s="124"/>
      <c r="FL13" s="124"/>
      <c r="FM13" s="124"/>
      <c r="FN13" s="124"/>
      <c r="FP13" s="124"/>
      <c r="FQ13" s="124"/>
      <c r="FR13" s="124"/>
    </row>
    <row r="14" spans="1:174" x14ac:dyDescent="0.35">
      <c r="A14" s="122" t="s">
        <v>56</v>
      </c>
      <c r="B14" s="125" t="e">
        <f>#REF!</f>
        <v>#REF!</v>
      </c>
      <c r="C14" s="124" t="e">
        <f>#REF!</f>
        <v>#REF!</v>
      </c>
      <c r="D14" s="124" t="e">
        <f>#REF!</f>
        <v>#REF!</v>
      </c>
      <c r="E14" s="124" t="e">
        <f>#REF!</f>
        <v>#REF!</v>
      </c>
      <c r="F14" s="124" t="e">
        <f>#REF!</f>
        <v>#REF!</v>
      </c>
      <c r="G14" s="122" t="e">
        <f>#REF!</f>
        <v>#REF!</v>
      </c>
      <c r="H14" s="124" t="e">
        <f>#REF!</f>
        <v>#REF!</v>
      </c>
      <c r="I14" s="124" t="e">
        <f>#REF!</f>
        <v>#REF!</v>
      </c>
      <c r="J14" s="124" t="e">
        <f>#REF!</f>
        <v>#REF!</v>
      </c>
      <c r="K14" s="124" t="e">
        <f>#REF!</f>
        <v>#REF!</v>
      </c>
      <c r="L14" s="124" t="e">
        <f>#REF!</f>
        <v>#REF!</v>
      </c>
      <c r="M14" s="124" t="e">
        <f>#REF!</f>
        <v>#REF!</v>
      </c>
      <c r="N14" s="124" t="e">
        <f>#REF!</f>
        <v>#REF!</v>
      </c>
      <c r="O14" s="124" t="e">
        <f>#REF!</f>
        <v>#REF!</v>
      </c>
      <c r="P14" s="124" t="e">
        <f>#REF!</f>
        <v>#REF!</v>
      </c>
      <c r="Q14" s="124" t="e">
        <f>#REF!</f>
        <v>#REF!</v>
      </c>
      <c r="R14" s="124" t="e">
        <f>#REF!</f>
        <v>#REF!</v>
      </c>
      <c r="S14" s="124" t="e">
        <f>#REF!</f>
        <v>#REF!</v>
      </c>
      <c r="T14" s="124" t="e">
        <f>#REF!</f>
        <v>#REF!</v>
      </c>
      <c r="U14" s="124" t="e">
        <f>#REF!</f>
        <v>#REF!</v>
      </c>
      <c r="V14" s="124" t="e">
        <f>#REF!</f>
        <v>#REF!</v>
      </c>
      <c r="W14" s="124" t="e">
        <f>#REF!</f>
        <v>#REF!</v>
      </c>
      <c r="X14" s="124" t="e">
        <f>#REF!</f>
        <v>#REF!</v>
      </c>
      <c r="Y14" s="124" t="e">
        <f>#REF!</f>
        <v>#REF!</v>
      </c>
      <c r="Z14" s="124" t="e">
        <f>#REF!</f>
        <v>#REF!</v>
      </c>
      <c r="AA14" s="124" t="e">
        <f>#REF!</f>
        <v>#REF!</v>
      </c>
      <c r="AB14" s="124" t="e">
        <f>#REF!</f>
        <v>#REF!</v>
      </c>
      <c r="AC14" s="124" t="e">
        <f>#REF!</f>
        <v>#REF!</v>
      </c>
      <c r="AD14" s="124" t="e">
        <f>#REF!</f>
        <v>#REF!</v>
      </c>
      <c r="AE14" s="124" t="e">
        <f>#REF!</f>
        <v>#REF!</v>
      </c>
      <c r="AF14" s="124" t="e">
        <f>#REF!</f>
        <v>#REF!</v>
      </c>
      <c r="AG14" s="124" t="e">
        <f>#REF!</f>
        <v>#REF!</v>
      </c>
      <c r="AH14" s="124" t="e">
        <f>#REF!</f>
        <v>#REF!</v>
      </c>
      <c r="AI14" s="124" t="e">
        <f>#REF!</f>
        <v>#REF!</v>
      </c>
      <c r="AJ14" s="124" t="e">
        <f>#REF!</f>
        <v>#REF!</v>
      </c>
      <c r="AK14" s="124" t="e">
        <f>#REF!</f>
        <v>#REF!</v>
      </c>
      <c r="AL14" s="124" t="e">
        <f>#REF!</f>
        <v>#REF!</v>
      </c>
      <c r="AM14" s="124" t="e">
        <f>#REF!</f>
        <v>#REF!</v>
      </c>
      <c r="AN14" s="124" t="e">
        <f>#REF!</f>
        <v>#REF!</v>
      </c>
      <c r="AO14" s="124" t="e">
        <f>#REF!</f>
        <v>#REF!</v>
      </c>
      <c r="AP14" s="124" t="e">
        <f>#REF!</f>
        <v>#REF!</v>
      </c>
      <c r="AQ14" s="124" t="e">
        <f>#REF!</f>
        <v>#REF!</v>
      </c>
      <c r="AR14" s="124" t="e">
        <f>#REF!</f>
        <v>#REF!</v>
      </c>
      <c r="AS14" s="124" t="e">
        <f>#REF!</f>
        <v>#REF!</v>
      </c>
      <c r="AT14" s="124" t="e">
        <f>#REF!</f>
        <v>#REF!</v>
      </c>
      <c r="AU14" s="124" t="e">
        <f>#REF!</f>
        <v>#REF!</v>
      </c>
      <c r="AV14" s="124" t="e">
        <f>#REF!</f>
        <v>#REF!</v>
      </c>
      <c r="AW14" s="124" t="e">
        <f>#REF!</f>
        <v>#REF!</v>
      </c>
      <c r="AX14" s="124" t="e">
        <f>#REF!</f>
        <v>#REF!</v>
      </c>
      <c r="AY14" s="124" t="e">
        <f>#REF!</f>
        <v>#REF!</v>
      </c>
      <c r="AZ14" s="124" t="e">
        <f>#REF!</f>
        <v>#REF!</v>
      </c>
      <c r="BA14" s="124" t="e">
        <f>#REF!</f>
        <v>#REF!</v>
      </c>
      <c r="BB14" s="124" t="e">
        <f>#REF!</f>
        <v>#REF!</v>
      </c>
      <c r="BC14" s="124" t="e">
        <f>#REF!</f>
        <v>#REF!</v>
      </c>
      <c r="BD14" s="124" t="e">
        <f>#REF!</f>
        <v>#REF!</v>
      </c>
      <c r="BE14" s="125" t="e">
        <f>#REF!</f>
        <v>#REF!</v>
      </c>
      <c r="BF14" s="124" t="e">
        <f>#REF!</f>
        <v>#REF!</v>
      </c>
      <c r="BG14" s="124" t="e">
        <f>#REF!</f>
        <v>#REF!</v>
      </c>
      <c r="BH14" s="124" t="e">
        <f>#REF!</f>
        <v>#REF!</v>
      </c>
      <c r="BI14" s="124" t="e">
        <f>#REF!</f>
        <v>#REF!</v>
      </c>
      <c r="BJ14" s="122" t="e">
        <f>#REF!</f>
        <v>#REF!</v>
      </c>
      <c r="BK14" s="124" t="e">
        <f>#REF!</f>
        <v>#REF!</v>
      </c>
      <c r="BL14" s="124" t="e">
        <f>#REF!</f>
        <v>#REF!</v>
      </c>
      <c r="BM14" s="124" t="e">
        <f>#REF!</f>
        <v>#REF!</v>
      </c>
      <c r="BN14" s="124" t="e">
        <f>#REF!</f>
        <v>#REF!</v>
      </c>
      <c r="BO14" s="124" t="e">
        <f>#REF!</f>
        <v>#REF!</v>
      </c>
      <c r="BP14" s="124" t="e">
        <f>#REF!</f>
        <v>#REF!</v>
      </c>
      <c r="BQ14" s="124" t="e">
        <f>#REF!</f>
        <v>#REF!</v>
      </c>
      <c r="BR14" s="124" t="e">
        <f>#REF!</f>
        <v>#REF!</v>
      </c>
      <c r="BS14" s="124" t="e">
        <f>#REF!</f>
        <v>#REF!</v>
      </c>
      <c r="BT14" s="124" t="e">
        <f>#REF!</f>
        <v>#REF!</v>
      </c>
      <c r="BU14" s="124" t="e">
        <f>#REF!</f>
        <v>#REF!</v>
      </c>
      <c r="BV14" s="124" t="e">
        <f>#REF!</f>
        <v>#REF!</v>
      </c>
      <c r="BW14" s="124" t="e">
        <f>#REF!</f>
        <v>#REF!</v>
      </c>
      <c r="BX14" s="124" t="e">
        <f>#REF!</f>
        <v>#REF!</v>
      </c>
      <c r="BY14" s="124" t="e">
        <f>#REF!</f>
        <v>#REF!</v>
      </c>
      <c r="BZ14" s="124" t="e">
        <f>#REF!</f>
        <v>#REF!</v>
      </c>
      <c r="CA14" s="124" t="e">
        <f>#REF!</f>
        <v>#REF!</v>
      </c>
      <c r="CB14" s="124" t="e">
        <f>#REF!</f>
        <v>#REF!</v>
      </c>
      <c r="CC14" s="124" t="e">
        <f>#REF!</f>
        <v>#REF!</v>
      </c>
      <c r="CD14" s="124" t="e">
        <f>#REF!</f>
        <v>#REF!</v>
      </c>
      <c r="CE14" s="124" t="e">
        <f>#REF!</f>
        <v>#REF!</v>
      </c>
      <c r="CF14" s="124" t="e">
        <f>#REF!</f>
        <v>#REF!</v>
      </c>
      <c r="CG14" s="124" t="e">
        <f>#REF!</f>
        <v>#REF!</v>
      </c>
      <c r="CH14" s="124" t="e">
        <f>#REF!</f>
        <v>#REF!</v>
      </c>
      <c r="CI14" s="124" t="e">
        <f>#REF!</f>
        <v>#REF!</v>
      </c>
      <c r="CJ14" s="124" t="e">
        <f>#REF!</f>
        <v>#REF!</v>
      </c>
      <c r="CK14" s="124" t="e">
        <f>#REF!</f>
        <v>#REF!</v>
      </c>
      <c r="CL14" s="124" t="e">
        <f>#REF!</f>
        <v>#REF!</v>
      </c>
      <c r="CM14" s="124" t="e">
        <f>#REF!</f>
        <v>#REF!</v>
      </c>
      <c r="CN14" s="124" t="e">
        <f>#REF!</f>
        <v>#REF!</v>
      </c>
      <c r="CO14" s="124" t="e">
        <f>#REF!</f>
        <v>#REF!</v>
      </c>
      <c r="CP14" s="124" t="e">
        <f>#REF!</f>
        <v>#REF!</v>
      </c>
      <c r="CQ14" s="124" t="e">
        <f>#REF!</f>
        <v>#REF!</v>
      </c>
      <c r="CR14" s="124" t="e">
        <f>#REF!</f>
        <v>#REF!</v>
      </c>
      <c r="CS14" s="124" t="e">
        <f>#REF!</f>
        <v>#REF!</v>
      </c>
      <c r="CT14" s="124" t="e">
        <f>#REF!</f>
        <v>#REF!</v>
      </c>
      <c r="CU14" s="124" t="e">
        <f>#REF!</f>
        <v>#REF!</v>
      </c>
      <c r="CV14" s="124" t="e">
        <f>#REF!</f>
        <v>#REF!</v>
      </c>
      <c r="CW14" s="124" t="e">
        <f>#REF!</f>
        <v>#REF!</v>
      </c>
      <c r="CX14" s="124" t="e">
        <f>#REF!</f>
        <v>#REF!</v>
      </c>
      <c r="CY14" s="124" t="e">
        <f>#REF!</f>
        <v>#REF!</v>
      </c>
      <c r="CZ14" s="124" t="e">
        <f>#REF!</f>
        <v>#REF!</v>
      </c>
      <c r="DA14" s="124" t="e">
        <f>#REF!</f>
        <v>#REF!</v>
      </c>
      <c r="DB14" s="124" t="e">
        <f>#REF!</f>
        <v>#REF!</v>
      </c>
      <c r="DC14" s="124" t="e">
        <f>#REF!</f>
        <v>#REF!</v>
      </c>
      <c r="DD14" s="124" t="e">
        <f>#REF!</f>
        <v>#REF!</v>
      </c>
      <c r="DE14" s="124" t="e">
        <f>#REF!</f>
        <v>#REF!</v>
      </c>
      <c r="DF14" s="124" t="e">
        <f>#REF!</f>
        <v>#REF!</v>
      </c>
      <c r="DG14" s="124" t="e">
        <f>#REF!</f>
        <v>#REF!</v>
      </c>
      <c r="DH14" s="125" t="e">
        <f>#REF!</f>
        <v>#REF!</v>
      </c>
      <c r="DI14" s="124" t="e">
        <f>#REF!</f>
        <v>#REF!</v>
      </c>
      <c r="DJ14" s="124" t="e">
        <f>#REF!</f>
        <v>#REF!</v>
      </c>
      <c r="DK14" s="124" t="e">
        <f>#REF!</f>
        <v>#REF!</v>
      </c>
      <c r="DL14" s="124" t="e">
        <f>#REF!</f>
        <v>#REF!</v>
      </c>
      <c r="DM14" s="122" t="e">
        <f>#REF!</f>
        <v>#REF!</v>
      </c>
      <c r="DN14" s="124" t="e">
        <f>#REF!</f>
        <v>#REF!</v>
      </c>
      <c r="DO14" s="124" t="e">
        <f>#REF!</f>
        <v>#REF!</v>
      </c>
      <c r="DP14" s="124" t="e">
        <f>#REF!</f>
        <v>#REF!</v>
      </c>
      <c r="DQ14" s="124" t="e">
        <f>#REF!</f>
        <v>#REF!</v>
      </c>
      <c r="DR14" s="124" t="e">
        <f>#REF!</f>
        <v>#REF!</v>
      </c>
      <c r="DS14" s="124" t="e">
        <f>#REF!</f>
        <v>#REF!</v>
      </c>
      <c r="DT14" s="124" t="e">
        <f>#REF!</f>
        <v>#REF!</v>
      </c>
      <c r="DU14" s="124" t="e">
        <f>#REF!</f>
        <v>#REF!</v>
      </c>
      <c r="DV14" s="124" t="e">
        <f>#REF!</f>
        <v>#REF!</v>
      </c>
      <c r="DW14" s="124" t="e">
        <f>#REF!</f>
        <v>#REF!</v>
      </c>
      <c r="DX14" s="124" t="e">
        <f>#REF!</f>
        <v>#REF!</v>
      </c>
      <c r="DY14" s="124" t="e">
        <f>#REF!</f>
        <v>#REF!</v>
      </c>
      <c r="DZ14" s="124" t="e">
        <f>#REF!</f>
        <v>#REF!</v>
      </c>
      <c r="EA14" s="124" t="e">
        <f>#REF!</f>
        <v>#REF!</v>
      </c>
      <c r="EB14" s="124" t="e">
        <f>#REF!</f>
        <v>#REF!</v>
      </c>
      <c r="EC14" s="124" t="e">
        <f>#REF!</f>
        <v>#REF!</v>
      </c>
      <c r="ED14" s="124" t="e">
        <f>#REF!</f>
        <v>#REF!</v>
      </c>
      <c r="EE14" s="124" t="e">
        <f>#REF!</f>
        <v>#REF!</v>
      </c>
      <c r="EF14" s="124" t="e">
        <f>#REF!</f>
        <v>#REF!</v>
      </c>
      <c r="EG14" s="124" t="e">
        <f>#REF!</f>
        <v>#REF!</v>
      </c>
      <c r="EH14" s="124" t="e">
        <f>#REF!</f>
        <v>#REF!</v>
      </c>
      <c r="EI14" s="124" t="e">
        <f>#REF!</f>
        <v>#REF!</v>
      </c>
      <c r="EJ14" s="124" t="e">
        <f>#REF!</f>
        <v>#REF!</v>
      </c>
      <c r="EK14" s="124" t="e">
        <f>#REF!</f>
        <v>#REF!</v>
      </c>
      <c r="EL14" s="124" t="e">
        <f>#REF!</f>
        <v>#REF!</v>
      </c>
      <c r="EM14" s="124" t="e">
        <f>#REF!</f>
        <v>#REF!</v>
      </c>
      <c r="EN14" s="124" t="e">
        <f>#REF!</f>
        <v>#REF!</v>
      </c>
      <c r="EO14" s="124" t="e">
        <f>#REF!</f>
        <v>#REF!</v>
      </c>
      <c r="EP14" s="124" t="e">
        <f>#REF!</f>
        <v>#REF!</v>
      </c>
      <c r="EQ14" s="124" t="e">
        <f>#REF!</f>
        <v>#REF!</v>
      </c>
      <c r="ER14" s="124" t="e">
        <f>#REF!</f>
        <v>#REF!</v>
      </c>
      <c r="ES14" s="124" t="e">
        <f>#REF!</f>
        <v>#REF!</v>
      </c>
      <c r="ET14" s="124" t="e">
        <f>#REF!</f>
        <v>#REF!</v>
      </c>
      <c r="EU14" s="124" t="e">
        <f>#REF!</f>
        <v>#REF!</v>
      </c>
      <c r="EV14" s="124" t="e">
        <f>#REF!</f>
        <v>#REF!</v>
      </c>
      <c r="EW14" s="124" t="e">
        <f>#REF!</f>
        <v>#REF!</v>
      </c>
      <c r="EX14" s="124" t="e">
        <f>#REF!</f>
        <v>#REF!</v>
      </c>
      <c r="EY14" s="124" t="e">
        <f>#REF!</f>
        <v>#REF!</v>
      </c>
      <c r="EZ14" s="124" t="e">
        <f>#REF!</f>
        <v>#REF!</v>
      </c>
      <c r="FA14" s="124" t="e">
        <f>#REF!</f>
        <v>#REF!</v>
      </c>
      <c r="FB14" s="124" t="e">
        <f>#REF!</f>
        <v>#REF!</v>
      </c>
      <c r="FC14" s="124" t="e">
        <f>#REF!</f>
        <v>#REF!</v>
      </c>
      <c r="FD14" s="124" t="e">
        <f>#REF!</f>
        <v>#REF!</v>
      </c>
      <c r="FE14" s="124" t="e">
        <f>#REF!</f>
        <v>#REF!</v>
      </c>
      <c r="FF14" s="124" t="e">
        <f>#REF!</f>
        <v>#REF!</v>
      </c>
      <c r="FG14" s="124" t="e">
        <f>#REF!</f>
        <v>#REF!</v>
      </c>
      <c r="FH14" s="124" t="e">
        <f>#REF!</f>
        <v>#REF!</v>
      </c>
      <c r="FI14" s="124" t="e">
        <f>#REF!</f>
        <v>#REF!</v>
      </c>
      <c r="FJ14" s="124" t="e">
        <f>#REF!</f>
        <v>#REF!</v>
      </c>
      <c r="FK14" s="124"/>
      <c r="FL14" s="124"/>
      <c r="FM14" s="124"/>
      <c r="FN14" s="124"/>
      <c r="FP14" s="124"/>
      <c r="FQ14" s="124"/>
      <c r="FR14" s="124"/>
    </row>
    <row r="15" spans="1:174" x14ac:dyDescent="0.35">
      <c r="A15" s="122" t="s">
        <v>73</v>
      </c>
      <c r="B15" s="125" t="e">
        <f>#REF!</f>
        <v>#REF!</v>
      </c>
      <c r="C15" s="124" t="e">
        <f>#REF!</f>
        <v>#REF!</v>
      </c>
      <c r="D15" s="124" t="e">
        <f>#REF!</f>
        <v>#REF!</v>
      </c>
      <c r="E15" s="124" t="e">
        <f>#REF!</f>
        <v>#REF!</v>
      </c>
      <c r="F15" s="124" t="e">
        <f>#REF!</f>
        <v>#REF!</v>
      </c>
      <c r="G15" s="122" t="e">
        <f>#REF!</f>
        <v>#REF!</v>
      </c>
      <c r="H15" s="124" t="e">
        <f>#REF!</f>
        <v>#REF!</v>
      </c>
      <c r="I15" s="124" t="e">
        <f>#REF!</f>
        <v>#REF!</v>
      </c>
      <c r="J15" s="124" t="e">
        <f>#REF!</f>
        <v>#REF!</v>
      </c>
      <c r="K15" s="124" t="e">
        <f>#REF!</f>
        <v>#REF!</v>
      </c>
      <c r="L15" s="124" t="e">
        <f>#REF!</f>
        <v>#REF!</v>
      </c>
      <c r="M15" s="124" t="e">
        <f>#REF!</f>
        <v>#REF!</v>
      </c>
      <c r="N15" s="124" t="e">
        <f>#REF!</f>
        <v>#REF!</v>
      </c>
      <c r="O15" s="124" t="e">
        <f>#REF!</f>
        <v>#REF!</v>
      </c>
      <c r="P15" s="124" t="e">
        <f>#REF!</f>
        <v>#REF!</v>
      </c>
      <c r="Q15" s="124" t="e">
        <f>#REF!</f>
        <v>#REF!</v>
      </c>
      <c r="R15" s="124" t="e">
        <f>#REF!</f>
        <v>#REF!</v>
      </c>
      <c r="S15" s="124" t="e">
        <f>#REF!</f>
        <v>#REF!</v>
      </c>
      <c r="T15" s="124" t="e">
        <f>#REF!</f>
        <v>#REF!</v>
      </c>
      <c r="U15" s="124" t="e">
        <f>#REF!</f>
        <v>#REF!</v>
      </c>
      <c r="V15" s="124" t="e">
        <f>#REF!</f>
        <v>#REF!</v>
      </c>
      <c r="W15" s="124" t="e">
        <f>#REF!</f>
        <v>#REF!</v>
      </c>
      <c r="X15" s="124" t="e">
        <f>#REF!</f>
        <v>#REF!</v>
      </c>
      <c r="Y15" s="124" t="e">
        <f>#REF!</f>
        <v>#REF!</v>
      </c>
      <c r="Z15" s="124" t="e">
        <f>#REF!</f>
        <v>#REF!</v>
      </c>
      <c r="AA15" s="124" t="e">
        <f>#REF!</f>
        <v>#REF!</v>
      </c>
      <c r="AB15" s="124" t="e">
        <f>#REF!</f>
        <v>#REF!</v>
      </c>
      <c r="AC15" s="124" t="e">
        <f>#REF!</f>
        <v>#REF!</v>
      </c>
      <c r="AD15" s="124" t="e">
        <f>#REF!</f>
        <v>#REF!</v>
      </c>
      <c r="AE15" s="124" t="e">
        <f>#REF!</f>
        <v>#REF!</v>
      </c>
      <c r="AF15" s="124" t="e">
        <f>#REF!</f>
        <v>#REF!</v>
      </c>
      <c r="AG15" s="124" t="e">
        <f>#REF!</f>
        <v>#REF!</v>
      </c>
      <c r="AH15" s="124" t="e">
        <f>#REF!</f>
        <v>#REF!</v>
      </c>
      <c r="AI15" s="124" t="e">
        <f>#REF!</f>
        <v>#REF!</v>
      </c>
      <c r="AJ15" s="124" t="e">
        <f>#REF!</f>
        <v>#REF!</v>
      </c>
      <c r="AK15" s="124" t="e">
        <f>#REF!</f>
        <v>#REF!</v>
      </c>
      <c r="AL15" s="124" t="e">
        <f>#REF!</f>
        <v>#REF!</v>
      </c>
      <c r="AM15" s="124" t="e">
        <f>#REF!</f>
        <v>#REF!</v>
      </c>
      <c r="AN15" s="124" t="e">
        <f>#REF!</f>
        <v>#REF!</v>
      </c>
      <c r="AO15" s="124" t="e">
        <f>#REF!</f>
        <v>#REF!</v>
      </c>
      <c r="AP15" s="124" t="e">
        <f>#REF!</f>
        <v>#REF!</v>
      </c>
      <c r="AQ15" s="124" t="e">
        <f>#REF!</f>
        <v>#REF!</v>
      </c>
      <c r="AR15" s="124" t="e">
        <f>#REF!</f>
        <v>#REF!</v>
      </c>
      <c r="AS15" s="124" t="e">
        <f>#REF!</f>
        <v>#REF!</v>
      </c>
      <c r="AT15" s="124" t="e">
        <f>#REF!</f>
        <v>#REF!</v>
      </c>
      <c r="AU15" s="124" t="e">
        <f>#REF!</f>
        <v>#REF!</v>
      </c>
      <c r="AV15" s="124" t="e">
        <f>#REF!</f>
        <v>#REF!</v>
      </c>
      <c r="AW15" s="124" t="e">
        <f>#REF!</f>
        <v>#REF!</v>
      </c>
      <c r="AX15" s="124" t="e">
        <f>#REF!</f>
        <v>#REF!</v>
      </c>
      <c r="AY15" s="124" t="e">
        <f>#REF!</f>
        <v>#REF!</v>
      </c>
      <c r="AZ15" s="124" t="e">
        <f>#REF!</f>
        <v>#REF!</v>
      </c>
      <c r="BA15" s="124" t="e">
        <f>#REF!</f>
        <v>#REF!</v>
      </c>
      <c r="BB15" s="124" t="e">
        <f>#REF!</f>
        <v>#REF!</v>
      </c>
      <c r="BC15" s="124" t="e">
        <f>#REF!</f>
        <v>#REF!</v>
      </c>
      <c r="BD15" s="124" t="e">
        <f>#REF!</f>
        <v>#REF!</v>
      </c>
      <c r="BE15" s="125" t="e">
        <f>#REF!</f>
        <v>#REF!</v>
      </c>
      <c r="BF15" s="124" t="e">
        <f>#REF!</f>
        <v>#REF!</v>
      </c>
      <c r="BG15" s="124" t="e">
        <f>#REF!</f>
        <v>#REF!</v>
      </c>
      <c r="BH15" s="124" t="e">
        <f>#REF!</f>
        <v>#REF!</v>
      </c>
      <c r="BI15" s="124" t="e">
        <f>#REF!</f>
        <v>#REF!</v>
      </c>
      <c r="BJ15" s="122" t="e">
        <f>#REF!</f>
        <v>#REF!</v>
      </c>
      <c r="BK15" s="124" t="e">
        <f>#REF!</f>
        <v>#REF!</v>
      </c>
      <c r="BL15" s="124" t="e">
        <f>#REF!</f>
        <v>#REF!</v>
      </c>
      <c r="BM15" s="124" t="e">
        <f>#REF!</f>
        <v>#REF!</v>
      </c>
      <c r="BN15" s="124" t="e">
        <f>#REF!</f>
        <v>#REF!</v>
      </c>
      <c r="BO15" s="124" t="e">
        <f>#REF!</f>
        <v>#REF!</v>
      </c>
      <c r="BP15" s="124" t="e">
        <f>#REF!</f>
        <v>#REF!</v>
      </c>
      <c r="BQ15" s="124" t="e">
        <f>#REF!</f>
        <v>#REF!</v>
      </c>
      <c r="BR15" s="124" t="e">
        <f>#REF!</f>
        <v>#REF!</v>
      </c>
      <c r="BS15" s="124" t="e">
        <f>#REF!</f>
        <v>#REF!</v>
      </c>
      <c r="BT15" s="124" t="e">
        <f>#REF!</f>
        <v>#REF!</v>
      </c>
      <c r="BU15" s="124" t="e">
        <f>#REF!</f>
        <v>#REF!</v>
      </c>
      <c r="BV15" s="124" t="e">
        <f>#REF!</f>
        <v>#REF!</v>
      </c>
      <c r="BW15" s="124" t="e">
        <f>#REF!</f>
        <v>#REF!</v>
      </c>
      <c r="BX15" s="124" t="e">
        <f>#REF!</f>
        <v>#REF!</v>
      </c>
      <c r="BY15" s="124" t="e">
        <f>#REF!</f>
        <v>#REF!</v>
      </c>
      <c r="BZ15" s="124" t="e">
        <f>#REF!</f>
        <v>#REF!</v>
      </c>
      <c r="CA15" s="124" t="e">
        <f>#REF!</f>
        <v>#REF!</v>
      </c>
      <c r="CB15" s="124" t="e">
        <f>#REF!</f>
        <v>#REF!</v>
      </c>
      <c r="CC15" s="124" t="e">
        <f>#REF!</f>
        <v>#REF!</v>
      </c>
      <c r="CD15" s="124" t="e">
        <f>#REF!</f>
        <v>#REF!</v>
      </c>
      <c r="CE15" s="124" t="e">
        <f>#REF!</f>
        <v>#REF!</v>
      </c>
      <c r="CF15" s="124" t="e">
        <f>#REF!</f>
        <v>#REF!</v>
      </c>
      <c r="CG15" s="124" t="e">
        <f>#REF!</f>
        <v>#REF!</v>
      </c>
      <c r="CH15" s="124" t="e">
        <f>#REF!</f>
        <v>#REF!</v>
      </c>
      <c r="CI15" s="124" t="e">
        <f>#REF!</f>
        <v>#REF!</v>
      </c>
      <c r="CJ15" s="124" t="e">
        <f>#REF!</f>
        <v>#REF!</v>
      </c>
      <c r="CK15" s="124" t="e">
        <f>#REF!</f>
        <v>#REF!</v>
      </c>
      <c r="CL15" s="124" t="e">
        <f>#REF!</f>
        <v>#REF!</v>
      </c>
      <c r="CM15" s="124" t="e">
        <f>#REF!</f>
        <v>#REF!</v>
      </c>
      <c r="CN15" s="124" t="e">
        <f>#REF!</f>
        <v>#REF!</v>
      </c>
      <c r="CO15" s="124" t="e">
        <f>#REF!</f>
        <v>#REF!</v>
      </c>
      <c r="CP15" s="124" t="e">
        <f>#REF!</f>
        <v>#REF!</v>
      </c>
      <c r="CQ15" s="124" t="e">
        <f>#REF!</f>
        <v>#REF!</v>
      </c>
      <c r="CR15" s="124" t="e">
        <f>#REF!</f>
        <v>#REF!</v>
      </c>
      <c r="CS15" s="124" t="e">
        <f>#REF!</f>
        <v>#REF!</v>
      </c>
      <c r="CT15" s="124" t="e">
        <f>#REF!</f>
        <v>#REF!</v>
      </c>
      <c r="CU15" s="124" t="e">
        <f>#REF!</f>
        <v>#REF!</v>
      </c>
      <c r="CV15" s="124" t="e">
        <f>#REF!</f>
        <v>#REF!</v>
      </c>
      <c r="CW15" s="124" t="e">
        <f>#REF!</f>
        <v>#REF!</v>
      </c>
      <c r="CX15" s="124" t="e">
        <f>#REF!</f>
        <v>#REF!</v>
      </c>
      <c r="CY15" s="124" t="e">
        <f>#REF!</f>
        <v>#REF!</v>
      </c>
      <c r="CZ15" s="124" t="e">
        <f>#REF!</f>
        <v>#REF!</v>
      </c>
      <c r="DA15" s="124" t="e">
        <f>#REF!</f>
        <v>#REF!</v>
      </c>
      <c r="DB15" s="124" t="e">
        <f>#REF!</f>
        <v>#REF!</v>
      </c>
      <c r="DC15" s="124" t="e">
        <f>#REF!</f>
        <v>#REF!</v>
      </c>
      <c r="DD15" s="124" t="e">
        <f>#REF!</f>
        <v>#REF!</v>
      </c>
      <c r="DE15" s="124" t="e">
        <f>#REF!</f>
        <v>#REF!</v>
      </c>
      <c r="DF15" s="124" t="e">
        <f>#REF!</f>
        <v>#REF!</v>
      </c>
      <c r="DG15" s="124" t="e">
        <f>#REF!</f>
        <v>#REF!</v>
      </c>
      <c r="DH15" s="125" t="e">
        <f>#REF!</f>
        <v>#REF!</v>
      </c>
      <c r="DI15" s="124" t="e">
        <f>#REF!</f>
        <v>#REF!</v>
      </c>
      <c r="DJ15" s="124" t="e">
        <f>#REF!</f>
        <v>#REF!</v>
      </c>
      <c r="DK15" s="124" t="e">
        <f>#REF!</f>
        <v>#REF!</v>
      </c>
      <c r="DL15" s="124" t="e">
        <f>#REF!</f>
        <v>#REF!</v>
      </c>
      <c r="DM15" s="122" t="e">
        <f>#REF!</f>
        <v>#REF!</v>
      </c>
      <c r="DN15" s="124" t="e">
        <f>#REF!</f>
        <v>#REF!</v>
      </c>
      <c r="DO15" s="124" t="e">
        <f>#REF!</f>
        <v>#REF!</v>
      </c>
      <c r="DP15" s="124" t="e">
        <f>#REF!</f>
        <v>#REF!</v>
      </c>
      <c r="DQ15" s="124" t="e">
        <f>#REF!</f>
        <v>#REF!</v>
      </c>
      <c r="DR15" s="124" t="e">
        <f>#REF!</f>
        <v>#REF!</v>
      </c>
      <c r="DS15" s="124" t="e">
        <f>#REF!</f>
        <v>#REF!</v>
      </c>
      <c r="DT15" s="124" t="e">
        <f>#REF!</f>
        <v>#REF!</v>
      </c>
      <c r="DU15" s="124" t="e">
        <f>#REF!</f>
        <v>#REF!</v>
      </c>
      <c r="DV15" s="124" t="e">
        <f>#REF!</f>
        <v>#REF!</v>
      </c>
      <c r="DW15" s="124" t="e">
        <f>#REF!</f>
        <v>#REF!</v>
      </c>
      <c r="DX15" s="124" t="e">
        <f>#REF!</f>
        <v>#REF!</v>
      </c>
      <c r="DY15" s="124" t="e">
        <f>#REF!</f>
        <v>#REF!</v>
      </c>
      <c r="DZ15" s="124" t="e">
        <f>#REF!</f>
        <v>#REF!</v>
      </c>
      <c r="EA15" s="124" t="e">
        <f>#REF!</f>
        <v>#REF!</v>
      </c>
      <c r="EB15" s="124" t="e">
        <f>#REF!</f>
        <v>#REF!</v>
      </c>
      <c r="EC15" s="124" t="e">
        <f>#REF!</f>
        <v>#REF!</v>
      </c>
      <c r="ED15" s="124" t="e">
        <f>#REF!</f>
        <v>#REF!</v>
      </c>
      <c r="EE15" s="124" t="e">
        <f>#REF!</f>
        <v>#REF!</v>
      </c>
      <c r="EF15" s="124" t="e">
        <f>#REF!</f>
        <v>#REF!</v>
      </c>
      <c r="EG15" s="124" t="e">
        <f>#REF!</f>
        <v>#REF!</v>
      </c>
      <c r="EH15" s="124" t="e">
        <f>#REF!</f>
        <v>#REF!</v>
      </c>
      <c r="EI15" s="124" t="e">
        <f>#REF!</f>
        <v>#REF!</v>
      </c>
      <c r="EJ15" s="124" t="e">
        <f>#REF!</f>
        <v>#REF!</v>
      </c>
      <c r="EK15" s="124" t="e">
        <f>#REF!</f>
        <v>#REF!</v>
      </c>
      <c r="EL15" s="124" t="e">
        <f>#REF!</f>
        <v>#REF!</v>
      </c>
      <c r="EM15" s="124" t="e">
        <f>#REF!</f>
        <v>#REF!</v>
      </c>
      <c r="EN15" s="124" t="e">
        <f>#REF!</f>
        <v>#REF!</v>
      </c>
      <c r="EO15" s="124" t="e">
        <f>#REF!</f>
        <v>#REF!</v>
      </c>
      <c r="EP15" s="124" t="e">
        <f>#REF!</f>
        <v>#REF!</v>
      </c>
      <c r="EQ15" s="124" t="e">
        <f>#REF!</f>
        <v>#REF!</v>
      </c>
      <c r="ER15" s="124" t="e">
        <f>#REF!</f>
        <v>#REF!</v>
      </c>
      <c r="ES15" s="124" t="e">
        <f>#REF!</f>
        <v>#REF!</v>
      </c>
      <c r="ET15" s="124" t="e">
        <f>#REF!</f>
        <v>#REF!</v>
      </c>
      <c r="EU15" s="124" t="e">
        <f>#REF!</f>
        <v>#REF!</v>
      </c>
      <c r="EV15" s="124" t="e">
        <f>#REF!</f>
        <v>#REF!</v>
      </c>
      <c r="EW15" s="124" t="e">
        <f>#REF!</f>
        <v>#REF!</v>
      </c>
      <c r="EX15" s="124" t="e">
        <f>#REF!</f>
        <v>#REF!</v>
      </c>
      <c r="EY15" s="124" t="e">
        <f>#REF!</f>
        <v>#REF!</v>
      </c>
      <c r="EZ15" s="124" t="e">
        <f>#REF!</f>
        <v>#REF!</v>
      </c>
      <c r="FA15" s="124" t="e">
        <f>#REF!</f>
        <v>#REF!</v>
      </c>
      <c r="FB15" s="124" t="e">
        <f>#REF!</f>
        <v>#REF!</v>
      </c>
      <c r="FC15" s="124" t="e">
        <f>#REF!</f>
        <v>#REF!</v>
      </c>
      <c r="FD15" s="124" t="e">
        <f>#REF!</f>
        <v>#REF!</v>
      </c>
      <c r="FE15" s="124" t="e">
        <f>#REF!</f>
        <v>#REF!</v>
      </c>
      <c r="FF15" s="124" t="e">
        <f>#REF!</f>
        <v>#REF!</v>
      </c>
      <c r="FG15" s="124" t="e">
        <f>#REF!</f>
        <v>#REF!</v>
      </c>
      <c r="FH15" s="124" t="e">
        <f>#REF!</f>
        <v>#REF!</v>
      </c>
      <c r="FI15" s="124" t="e">
        <f>#REF!</f>
        <v>#REF!</v>
      </c>
      <c r="FJ15" s="124" t="e">
        <f>#REF!</f>
        <v>#REF!</v>
      </c>
      <c r="FK15" s="124"/>
      <c r="FL15" s="124"/>
      <c r="FM15" s="124"/>
      <c r="FN15" s="124"/>
      <c r="FP15" s="124"/>
      <c r="FQ15" s="124"/>
      <c r="FR15" s="124"/>
    </row>
    <row r="16" spans="1:174" x14ac:dyDescent="0.35">
      <c r="A16" s="122" t="s">
        <v>204</v>
      </c>
      <c r="B16" s="125" t="e">
        <f>#REF!</f>
        <v>#REF!</v>
      </c>
      <c r="C16" s="124" t="e">
        <f>#REF!</f>
        <v>#REF!</v>
      </c>
      <c r="D16" s="124" t="e">
        <f>#REF!</f>
        <v>#REF!</v>
      </c>
      <c r="E16" s="124" t="e">
        <f>#REF!</f>
        <v>#REF!</v>
      </c>
      <c r="F16" s="124" t="e">
        <f>#REF!</f>
        <v>#REF!</v>
      </c>
      <c r="G16" s="122" t="e">
        <f>#REF!</f>
        <v>#REF!</v>
      </c>
      <c r="H16" s="124" t="e">
        <f>#REF!</f>
        <v>#REF!</v>
      </c>
      <c r="I16" s="124" t="e">
        <f>#REF!</f>
        <v>#REF!</v>
      </c>
      <c r="J16" s="124" t="e">
        <f>#REF!</f>
        <v>#REF!</v>
      </c>
      <c r="K16" s="124" t="e">
        <f>#REF!</f>
        <v>#REF!</v>
      </c>
      <c r="L16" s="124" t="e">
        <f>#REF!</f>
        <v>#REF!</v>
      </c>
      <c r="M16" s="124" t="e">
        <f>#REF!</f>
        <v>#REF!</v>
      </c>
      <c r="N16" s="124" t="e">
        <f>#REF!</f>
        <v>#REF!</v>
      </c>
      <c r="O16" s="124" t="e">
        <f>#REF!</f>
        <v>#REF!</v>
      </c>
      <c r="P16" s="124" t="e">
        <f>#REF!</f>
        <v>#REF!</v>
      </c>
      <c r="Q16" s="124" t="e">
        <f>#REF!</f>
        <v>#REF!</v>
      </c>
      <c r="R16" s="124" t="e">
        <f>#REF!</f>
        <v>#REF!</v>
      </c>
      <c r="S16" s="124" t="e">
        <f>#REF!</f>
        <v>#REF!</v>
      </c>
      <c r="T16" s="124" t="e">
        <f>#REF!</f>
        <v>#REF!</v>
      </c>
      <c r="U16" s="124" t="e">
        <f>#REF!</f>
        <v>#REF!</v>
      </c>
      <c r="V16" s="124" t="e">
        <f>#REF!</f>
        <v>#REF!</v>
      </c>
      <c r="W16" s="124" t="e">
        <f>#REF!</f>
        <v>#REF!</v>
      </c>
      <c r="X16" s="124" t="e">
        <f>#REF!</f>
        <v>#REF!</v>
      </c>
      <c r="Y16" s="124" t="e">
        <f>#REF!</f>
        <v>#REF!</v>
      </c>
      <c r="Z16" s="124" t="e">
        <f>#REF!</f>
        <v>#REF!</v>
      </c>
      <c r="AA16" s="124" t="e">
        <f>#REF!</f>
        <v>#REF!</v>
      </c>
      <c r="AB16" s="124" t="e">
        <f>#REF!</f>
        <v>#REF!</v>
      </c>
      <c r="AC16" s="124" t="e">
        <f>#REF!</f>
        <v>#REF!</v>
      </c>
      <c r="AD16" s="124" t="e">
        <f>#REF!</f>
        <v>#REF!</v>
      </c>
      <c r="AE16" s="124" t="e">
        <f>#REF!</f>
        <v>#REF!</v>
      </c>
      <c r="AF16" s="124" t="e">
        <f>#REF!</f>
        <v>#REF!</v>
      </c>
      <c r="AG16" s="124" t="e">
        <f>#REF!</f>
        <v>#REF!</v>
      </c>
      <c r="AH16" s="124" t="e">
        <f>#REF!</f>
        <v>#REF!</v>
      </c>
      <c r="AI16" s="124" t="e">
        <f>#REF!</f>
        <v>#REF!</v>
      </c>
      <c r="AJ16" s="124" t="e">
        <f>#REF!</f>
        <v>#REF!</v>
      </c>
      <c r="AK16" s="124" t="e">
        <f>#REF!</f>
        <v>#REF!</v>
      </c>
      <c r="AL16" s="124" t="e">
        <f>#REF!</f>
        <v>#REF!</v>
      </c>
      <c r="AM16" s="124" t="e">
        <f>#REF!</f>
        <v>#REF!</v>
      </c>
      <c r="AN16" s="124" t="e">
        <f>#REF!</f>
        <v>#REF!</v>
      </c>
      <c r="AO16" s="124" t="e">
        <f>#REF!</f>
        <v>#REF!</v>
      </c>
      <c r="AP16" s="124" t="e">
        <f>#REF!</f>
        <v>#REF!</v>
      </c>
      <c r="AQ16" s="124" t="e">
        <f>#REF!</f>
        <v>#REF!</v>
      </c>
      <c r="AR16" s="124" t="e">
        <f>#REF!</f>
        <v>#REF!</v>
      </c>
      <c r="AS16" s="124" t="e">
        <f>#REF!</f>
        <v>#REF!</v>
      </c>
      <c r="AT16" s="124" t="e">
        <f>#REF!</f>
        <v>#REF!</v>
      </c>
      <c r="AU16" s="124" t="e">
        <f>#REF!</f>
        <v>#REF!</v>
      </c>
      <c r="AV16" s="124" t="e">
        <f>#REF!</f>
        <v>#REF!</v>
      </c>
      <c r="AW16" s="124" t="e">
        <f>#REF!</f>
        <v>#REF!</v>
      </c>
      <c r="AX16" s="124" t="e">
        <f>#REF!</f>
        <v>#REF!</v>
      </c>
      <c r="AY16" s="124" t="e">
        <f>#REF!</f>
        <v>#REF!</v>
      </c>
      <c r="AZ16" s="124" t="e">
        <f>#REF!</f>
        <v>#REF!</v>
      </c>
      <c r="BA16" s="124" t="e">
        <f>#REF!</f>
        <v>#REF!</v>
      </c>
      <c r="BB16" s="124" t="e">
        <f>#REF!</f>
        <v>#REF!</v>
      </c>
      <c r="BC16" s="124" t="e">
        <f>#REF!</f>
        <v>#REF!</v>
      </c>
      <c r="BD16" s="124" t="e">
        <f>#REF!</f>
        <v>#REF!</v>
      </c>
      <c r="BE16" s="125" t="e">
        <f>#REF!</f>
        <v>#REF!</v>
      </c>
      <c r="BF16" s="124" t="e">
        <f>#REF!</f>
        <v>#REF!</v>
      </c>
      <c r="BG16" s="124" t="e">
        <f>#REF!</f>
        <v>#REF!</v>
      </c>
      <c r="BH16" s="124" t="e">
        <f>#REF!</f>
        <v>#REF!</v>
      </c>
      <c r="BI16" s="124" t="e">
        <f>#REF!</f>
        <v>#REF!</v>
      </c>
      <c r="BJ16" s="122" t="e">
        <f>#REF!</f>
        <v>#REF!</v>
      </c>
      <c r="BK16" s="124" t="e">
        <f>#REF!</f>
        <v>#REF!</v>
      </c>
      <c r="BL16" s="124" t="e">
        <f>#REF!</f>
        <v>#REF!</v>
      </c>
      <c r="BM16" s="124" t="e">
        <f>#REF!</f>
        <v>#REF!</v>
      </c>
      <c r="BN16" s="124" t="e">
        <f>#REF!</f>
        <v>#REF!</v>
      </c>
      <c r="BO16" s="124" t="e">
        <f>#REF!</f>
        <v>#REF!</v>
      </c>
      <c r="BP16" s="124" t="e">
        <f>#REF!</f>
        <v>#REF!</v>
      </c>
      <c r="BQ16" s="124" t="e">
        <f>#REF!</f>
        <v>#REF!</v>
      </c>
      <c r="BR16" s="124" t="e">
        <f>#REF!</f>
        <v>#REF!</v>
      </c>
      <c r="BS16" s="124" t="e">
        <f>#REF!</f>
        <v>#REF!</v>
      </c>
      <c r="BT16" s="124" t="e">
        <f>#REF!</f>
        <v>#REF!</v>
      </c>
      <c r="BU16" s="124" t="e">
        <f>#REF!</f>
        <v>#REF!</v>
      </c>
      <c r="BV16" s="124" t="e">
        <f>#REF!</f>
        <v>#REF!</v>
      </c>
      <c r="BW16" s="124" t="e">
        <f>#REF!</f>
        <v>#REF!</v>
      </c>
      <c r="BX16" s="124" t="e">
        <f>#REF!</f>
        <v>#REF!</v>
      </c>
      <c r="BY16" s="124" t="e">
        <f>#REF!</f>
        <v>#REF!</v>
      </c>
      <c r="BZ16" s="124" t="e">
        <f>#REF!</f>
        <v>#REF!</v>
      </c>
      <c r="CA16" s="124" t="e">
        <f>#REF!</f>
        <v>#REF!</v>
      </c>
      <c r="CB16" s="124" t="e">
        <f>#REF!</f>
        <v>#REF!</v>
      </c>
      <c r="CC16" s="124" t="e">
        <f>#REF!</f>
        <v>#REF!</v>
      </c>
      <c r="CD16" s="124" t="e">
        <f>#REF!</f>
        <v>#REF!</v>
      </c>
      <c r="CE16" s="124" t="e">
        <f>#REF!</f>
        <v>#REF!</v>
      </c>
      <c r="CF16" s="124" t="e">
        <f>#REF!</f>
        <v>#REF!</v>
      </c>
      <c r="CG16" s="124" t="e">
        <f>#REF!</f>
        <v>#REF!</v>
      </c>
      <c r="CH16" s="124" t="e">
        <f>#REF!</f>
        <v>#REF!</v>
      </c>
      <c r="CI16" s="124" t="e">
        <f>#REF!</f>
        <v>#REF!</v>
      </c>
      <c r="CJ16" s="124" t="e">
        <f>#REF!</f>
        <v>#REF!</v>
      </c>
      <c r="CK16" s="124" t="e">
        <f>#REF!</f>
        <v>#REF!</v>
      </c>
      <c r="CL16" s="124" t="e">
        <f>#REF!</f>
        <v>#REF!</v>
      </c>
      <c r="CM16" s="124" t="e">
        <f>#REF!</f>
        <v>#REF!</v>
      </c>
      <c r="CN16" s="124" t="e">
        <f>#REF!</f>
        <v>#REF!</v>
      </c>
      <c r="CO16" s="124" t="e">
        <f>#REF!</f>
        <v>#REF!</v>
      </c>
      <c r="CP16" s="124" t="e">
        <f>#REF!</f>
        <v>#REF!</v>
      </c>
      <c r="CQ16" s="124" t="e">
        <f>#REF!</f>
        <v>#REF!</v>
      </c>
      <c r="CR16" s="124" t="e">
        <f>#REF!</f>
        <v>#REF!</v>
      </c>
      <c r="CS16" s="124" t="e">
        <f>#REF!</f>
        <v>#REF!</v>
      </c>
      <c r="CT16" s="124" t="e">
        <f>#REF!</f>
        <v>#REF!</v>
      </c>
      <c r="CU16" s="124" t="e">
        <f>#REF!</f>
        <v>#REF!</v>
      </c>
      <c r="CV16" s="124" t="e">
        <f>#REF!</f>
        <v>#REF!</v>
      </c>
      <c r="CW16" s="124" t="e">
        <f>#REF!</f>
        <v>#REF!</v>
      </c>
      <c r="CX16" s="124" t="e">
        <f>#REF!</f>
        <v>#REF!</v>
      </c>
      <c r="CY16" s="124" t="e">
        <f>#REF!</f>
        <v>#REF!</v>
      </c>
      <c r="CZ16" s="124" t="e">
        <f>#REF!</f>
        <v>#REF!</v>
      </c>
      <c r="DA16" s="124" t="e">
        <f>#REF!</f>
        <v>#REF!</v>
      </c>
      <c r="DB16" s="124" t="e">
        <f>#REF!</f>
        <v>#REF!</v>
      </c>
      <c r="DC16" s="124" t="e">
        <f>#REF!</f>
        <v>#REF!</v>
      </c>
      <c r="DD16" s="124" t="e">
        <f>#REF!</f>
        <v>#REF!</v>
      </c>
      <c r="DE16" s="124" t="e">
        <f>#REF!</f>
        <v>#REF!</v>
      </c>
      <c r="DF16" s="124" t="e">
        <f>#REF!</f>
        <v>#REF!</v>
      </c>
      <c r="DG16" s="124" t="e">
        <f>#REF!</f>
        <v>#REF!</v>
      </c>
      <c r="DH16" s="125" t="e">
        <f>#REF!</f>
        <v>#REF!</v>
      </c>
      <c r="DI16" s="124" t="e">
        <f>#REF!</f>
        <v>#REF!</v>
      </c>
      <c r="DJ16" s="124" t="e">
        <f>#REF!</f>
        <v>#REF!</v>
      </c>
      <c r="DK16" s="124" t="e">
        <f>#REF!</f>
        <v>#REF!</v>
      </c>
      <c r="DL16" s="124" t="e">
        <f>#REF!</f>
        <v>#REF!</v>
      </c>
      <c r="DM16" s="122" t="e">
        <f>#REF!</f>
        <v>#REF!</v>
      </c>
      <c r="DN16" s="124" t="e">
        <f>#REF!</f>
        <v>#REF!</v>
      </c>
      <c r="DO16" s="124" t="e">
        <f>#REF!</f>
        <v>#REF!</v>
      </c>
      <c r="DP16" s="124" t="e">
        <f>#REF!</f>
        <v>#REF!</v>
      </c>
      <c r="DQ16" s="124" t="e">
        <f>#REF!</f>
        <v>#REF!</v>
      </c>
      <c r="DR16" s="124" t="e">
        <f>#REF!</f>
        <v>#REF!</v>
      </c>
      <c r="DS16" s="124" t="e">
        <f>#REF!</f>
        <v>#REF!</v>
      </c>
      <c r="DT16" s="124" t="e">
        <f>#REF!</f>
        <v>#REF!</v>
      </c>
      <c r="DU16" s="124" t="e">
        <f>#REF!</f>
        <v>#REF!</v>
      </c>
      <c r="DV16" s="124" t="e">
        <f>#REF!</f>
        <v>#REF!</v>
      </c>
      <c r="DW16" s="124" t="e">
        <f>#REF!</f>
        <v>#REF!</v>
      </c>
      <c r="DX16" s="124" t="e">
        <f>#REF!</f>
        <v>#REF!</v>
      </c>
      <c r="DY16" s="124" t="e">
        <f>#REF!</f>
        <v>#REF!</v>
      </c>
      <c r="DZ16" s="124" t="e">
        <f>#REF!</f>
        <v>#REF!</v>
      </c>
      <c r="EA16" s="124" t="e">
        <f>#REF!</f>
        <v>#REF!</v>
      </c>
      <c r="EB16" s="124" t="e">
        <f>#REF!</f>
        <v>#REF!</v>
      </c>
      <c r="EC16" s="124" t="e">
        <f>#REF!</f>
        <v>#REF!</v>
      </c>
      <c r="ED16" s="124" t="e">
        <f>#REF!</f>
        <v>#REF!</v>
      </c>
      <c r="EE16" s="124" t="e">
        <f>#REF!</f>
        <v>#REF!</v>
      </c>
      <c r="EF16" s="124" t="e">
        <f>#REF!</f>
        <v>#REF!</v>
      </c>
      <c r="EG16" s="124" t="e">
        <f>#REF!</f>
        <v>#REF!</v>
      </c>
      <c r="EH16" s="124" t="e">
        <f>#REF!</f>
        <v>#REF!</v>
      </c>
      <c r="EI16" s="124" t="e">
        <f>#REF!</f>
        <v>#REF!</v>
      </c>
      <c r="EJ16" s="124" t="e">
        <f>#REF!</f>
        <v>#REF!</v>
      </c>
      <c r="EK16" s="124" t="e">
        <f>#REF!</f>
        <v>#REF!</v>
      </c>
      <c r="EL16" s="124" t="e">
        <f>#REF!</f>
        <v>#REF!</v>
      </c>
      <c r="EM16" s="124" t="e">
        <f>#REF!</f>
        <v>#REF!</v>
      </c>
      <c r="EN16" s="124" t="e">
        <f>#REF!</f>
        <v>#REF!</v>
      </c>
      <c r="EO16" s="124" t="e">
        <f>#REF!</f>
        <v>#REF!</v>
      </c>
      <c r="EP16" s="124" t="e">
        <f>#REF!</f>
        <v>#REF!</v>
      </c>
      <c r="EQ16" s="124" t="e">
        <f>#REF!</f>
        <v>#REF!</v>
      </c>
      <c r="ER16" s="124" t="e">
        <f>#REF!</f>
        <v>#REF!</v>
      </c>
      <c r="ES16" s="124" t="e">
        <f>#REF!</f>
        <v>#REF!</v>
      </c>
      <c r="ET16" s="124" t="e">
        <f>#REF!</f>
        <v>#REF!</v>
      </c>
      <c r="EU16" s="124" t="e">
        <f>#REF!</f>
        <v>#REF!</v>
      </c>
      <c r="EV16" s="124" t="e">
        <f>#REF!</f>
        <v>#REF!</v>
      </c>
      <c r="EW16" s="124" t="e">
        <f>#REF!</f>
        <v>#REF!</v>
      </c>
      <c r="EX16" s="124" t="e">
        <f>#REF!</f>
        <v>#REF!</v>
      </c>
      <c r="EY16" s="124" t="e">
        <f>#REF!</f>
        <v>#REF!</v>
      </c>
      <c r="EZ16" s="124" t="e">
        <f>#REF!</f>
        <v>#REF!</v>
      </c>
      <c r="FA16" s="124" t="e">
        <f>#REF!</f>
        <v>#REF!</v>
      </c>
      <c r="FB16" s="124" t="e">
        <f>#REF!</f>
        <v>#REF!</v>
      </c>
      <c r="FC16" s="124" t="e">
        <f>#REF!</f>
        <v>#REF!</v>
      </c>
      <c r="FD16" s="124" t="e">
        <f>#REF!</f>
        <v>#REF!</v>
      </c>
      <c r="FE16" s="124" t="e">
        <f>#REF!</f>
        <v>#REF!</v>
      </c>
      <c r="FF16" s="124" t="e">
        <f>#REF!</f>
        <v>#REF!</v>
      </c>
      <c r="FG16" s="124" t="e">
        <f>#REF!</f>
        <v>#REF!</v>
      </c>
      <c r="FH16" s="124" t="e">
        <f>#REF!</f>
        <v>#REF!</v>
      </c>
      <c r="FI16" s="124" t="e">
        <f>#REF!</f>
        <v>#REF!</v>
      </c>
      <c r="FJ16" s="124" t="e">
        <f>#REF!</f>
        <v>#REF!</v>
      </c>
      <c r="FK16" s="124"/>
      <c r="FL16" s="124"/>
      <c r="FM16" s="124"/>
      <c r="FN16" s="124"/>
      <c r="FP16" s="124"/>
      <c r="FQ16" s="124"/>
      <c r="FR16" s="124"/>
    </row>
    <row r="17" spans="1:166" x14ac:dyDescent="0.35">
      <c r="A17" s="126" t="s">
        <v>378</v>
      </c>
      <c r="B17" s="127" t="e">
        <f>SUM(B6:B16)</f>
        <v>#REF!</v>
      </c>
      <c r="C17" s="127" t="e">
        <f t="shared" ref="C17:BN17" si="0">SUM(C6:C16)</f>
        <v>#REF!</v>
      </c>
      <c r="D17" s="127" t="e">
        <f t="shared" si="0"/>
        <v>#REF!</v>
      </c>
      <c r="E17" s="127" t="e">
        <f t="shared" si="0"/>
        <v>#REF!</v>
      </c>
      <c r="F17" s="127" t="e">
        <f t="shared" si="0"/>
        <v>#REF!</v>
      </c>
      <c r="G17" s="127" t="e">
        <f t="shared" si="0"/>
        <v>#REF!</v>
      </c>
      <c r="H17" s="127" t="e">
        <f t="shared" si="0"/>
        <v>#REF!</v>
      </c>
      <c r="I17" s="127" t="e">
        <f t="shared" si="0"/>
        <v>#REF!</v>
      </c>
      <c r="J17" s="127" t="e">
        <f t="shared" si="0"/>
        <v>#REF!</v>
      </c>
      <c r="K17" s="127" t="e">
        <f t="shared" si="0"/>
        <v>#REF!</v>
      </c>
      <c r="L17" s="127" t="e">
        <f t="shared" si="0"/>
        <v>#REF!</v>
      </c>
      <c r="M17" s="127" t="e">
        <f t="shared" si="0"/>
        <v>#REF!</v>
      </c>
      <c r="N17" s="127" t="e">
        <f t="shared" si="0"/>
        <v>#REF!</v>
      </c>
      <c r="O17" s="127" t="e">
        <f t="shared" si="0"/>
        <v>#REF!</v>
      </c>
      <c r="P17" s="127" t="e">
        <f t="shared" si="0"/>
        <v>#REF!</v>
      </c>
      <c r="Q17" s="127" t="e">
        <f t="shared" si="0"/>
        <v>#REF!</v>
      </c>
      <c r="R17" s="127" t="e">
        <f t="shared" si="0"/>
        <v>#REF!</v>
      </c>
      <c r="S17" s="127" t="e">
        <f t="shared" si="0"/>
        <v>#REF!</v>
      </c>
      <c r="T17" s="127" t="e">
        <f t="shared" si="0"/>
        <v>#REF!</v>
      </c>
      <c r="U17" s="127" t="e">
        <f t="shared" si="0"/>
        <v>#REF!</v>
      </c>
      <c r="V17" s="127" t="e">
        <f t="shared" si="0"/>
        <v>#REF!</v>
      </c>
      <c r="W17" s="127" t="e">
        <f t="shared" si="0"/>
        <v>#REF!</v>
      </c>
      <c r="X17" s="127" t="e">
        <f t="shared" si="0"/>
        <v>#REF!</v>
      </c>
      <c r="Y17" s="127" t="e">
        <f t="shared" si="0"/>
        <v>#REF!</v>
      </c>
      <c r="Z17" s="127" t="e">
        <f t="shared" si="0"/>
        <v>#REF!</v>
      </c>
      <c r="AA17" s="127" t="e">
        <f t="shared" si="0"/>
        <v>#REF!</v>
      </c>
      <c r="AB17" s="127" t="e">
        <f t="shared" si="0"/>
        <v>#REF!</v>
      </c>
      <c r="AC17" s="127" t="e">
        <f t="shared" si="0"/>
        <v>#REF!</v>
      </c>
      <c r="AD17" s="127" t="e">
        <f t="shared" si="0"/>
        <v>#REF!</v>
      </c>
      <c r="AE17" s="127" t="e">
        <f t="shared" si="0"/>
        <v>#REF!</v>
      </c>
      <c r="AF17" s="127" t="e">
        <f t="shared" si="0"/>
        <v>#REF!</v>
      </c>
      <c r="AG17" s="127" t="e">
        <f t="shared" si="0"/>
        <v>#REF!</v>
      </c>
      <c r="AH17" s="127" t="e">
        <f t="shared" si="0"/>
        <v>#REF!</v>
      </c>
      <c r="AI17" s="127" t="e">
        <f t="shared" si="0"/>
        <v>#REF!</v>
      </c>
      <c r="AJ17" s="127" t="e">
        <f t="shared" si="0"/>
        <v>#REF!</v>
      </c>
      <c r="AK17" s="127" t="e">
        <f t="shared" si="0"/>
        <v>#REF!</v>
      </c>
      <c r="AL17" s="127" t="e">
        <f t="shared" si="0"/>
        <v>#REF!</v>
      </c>
      <c r="AM17" s="127" t="e">
        <f t="shared" si="0"/>
        <v>#REF!</v>
      </c>
      <c r="AN17" s="127" t="e">
        <f t="shared" si="0"/>
        <v>#REF!</v>
      </c>
      <c r="AO17" s="127" t="e">
        <f t="shared" si="0"/>
        <v>#REF!</v>
      </c>
      <c r="AP17" s="127" t="e">
        <f t="shared" si="0"/>
        <v>#REF!</v>
      </c>
      <c r="AQ17" s="127" t="e">
        <f t="shared" si="0"/>
        <v>#REF!</v>
      </c>
      <c r="AR17" s="127" t="e">
        <f t="shared" si="0"/>
        <v>#REF!</v>
      </c>
      <c r="AS17" s="127" t="e">
        <f t="shared" si="0"/>
        <v>#REF!</v>
      </c>
      <c r="AT17" s="127" t="e">
        <f t="shared" si="0"/>
        <v>#REF!</v>
      </c>
      <c r="AU17" s="127" t="e">
        <f t="shared" si="0"/>
        <v>#REF!</v>
      </c>
      <c r="AV17" s="127" t="e">
        <f t="shared" si="0"/>
        <v>#REF!</v>
      </c>
      <c r="AW17" s="127" t="e">
        <f t="shared" si="0"/>
        <v>#REF!</v>
      </c>
      <c r="AX17" s="127" t="e">
        <f t="shared" si="0"/>
        <v>#REF!</v>
      </c>
      <c r="AY17" s="127" t="e">
        <f t="shared" si="0"/>
        <v>#REF!</v>
      </c>
      <c r="AZ17" s="127" t="e">
        <f t="shared" si="0"/>
        <v>#REF!</v>
      </c>
      <c r="BA17" s="127" t="e">
        <f t="shared" si="0"/>
        <v>#REF!</v>
      </c>
      <c r="BB17" s="127" t="e">
        <f t="shared" si="0"/>
        <v>#REF!</v>
      </c>
      <c r="BC17" s="127" t="e">
        <f t="shared" si="0"/>
        <v>#REF!</v>
      </c>
      <c r="BD17" s="127" t="e">
        <f t="shared" si="0"/>
        <v>#REF!</v>
      </c>
      <c r="BE17" s="127" t="e">
        <f t="shared" si="0"/>
        <v>#REF!</v>
      </c>
      <c r="BF17" s="127" t="e">
        <f t="shared" si="0"/>
        <v>#REF!</v>
      </c>
      <c r="BG17" s="127" t="e">
        <f t="shared" si="0"/>
        <v>#REF!</v>
      </c>
      <c r="BH17" s="127" t="e">
        <f t="shared" si="0"/>
        <v>#REF!</v>
      </c>
      <c r="BI17" s="127" t="e">
        <f t="shared" si="0"/>
        <v>#REF!</v>
      </c>
      <c r="BJ17" s="127" t="e">
        <f t="shared" si="0"/>
        <v>#REF!</v>
      </c>
      <c r="BK17" s="127" t="e">
        <f t="shared" si="0"/>
        <v>#REF!</v>
      </c>
      <c r="BL17" s="127" t="e">
        <f t="shared" si="0"/>
        <v>#REF!</v>
      </c>
      <c r="BM17" s="127" t="e">
        <f t="shared" si="0"/>
        <v>#REF!</v>
      </c>
      <c r="BN17" s="127" t="e">
        <f t="shared" si="0"/>
        <v>#REF!</v>
      </c>
      <c r="BO17" s="127" t="e">
        <f t="shared" ref="BO17:DZ17" si="1">SUM(BO6:BO16)</f>
        <v>#REF!</v>
      </c>
      <c r="BP17" s="127" t="e">
        <f t="shared" si="1"/>
        <v>#REF!</v>
      </c>
      <c r="BQ17" s="127" t="e">
        <f t="shared" si="1"/>
        <v>#REF!</v>
      </c>
      <c r="BR17" s="127" t="e">
        <f t="shared" si="1"/>
        <v>#REF!</v>
      </c>
      <c r="BS17" s="127" t="e">
        <f t="shared" si="1"/>
        <v>#REF!</v>
      </c>
      <c r="BT17" s="127" t="e">
        <f t="shared" si="1"/>
        <v>#REF!</v>
      </c>
      <c r="BU17" s="127" t="e">
        <f t="shared" si="1"/>
        <v>#REF!</v>
      </c>
      <c r="BV17" s="127" t="e">
        <f t="shared" si="1"/>
        <v>#REF!</v>
      </c>
      <c r="BW17" s="127" t="e">
        <f t="shared" si="1"/>
        <v>#REF!</v>
      </c>
      <c r="BX17" s="127" t="e">
        <f t="shared" si="1"/>
        <v>#REF!</v>
      </c>
      <c r="BY17" s="127" t="e">
        <f t="shared" si="1"/>
        <v>#REF!</v>
      </c>
      <c r="BZ17" s="127" t="e">
        <f t="shared" si="1"/>
        <v>#REF!</v>
      </c>
      <c r="CA17" s="127" t="e">
        <f t="shared" si="1"/>
        <v>#REF!</v>
      </c>
      <c r="CB17" s="127" t="e">
        <f t="shared" si="1"/>
        <v>#REF!</v>
      </c>
      <c r="CC17" s="127" t="e">
        <f t="shared" si="1"/>
        <v>#REF!</v>
      </c>
      <c r="CD17" s="127" t="e">
        <f t="shared" si="1"/>
        <v>#REF!</v>
      </c>
      <c r="CE17" s="127" t="e">
        <f t="shared" si="1"/>
        <v>#REF!</v>
      </c>
      <c r="CF17" s="127" t="e">
        <f t="shared" si="1"/>
        <v>#REF!</v>
      </c>
      <c r="CG17" s="127" t="e">
        <f t="shared" si="1"/>
        <v>#REF!</v>
      </c>
      <c r="CH17" s="127" t="e">
        <f t="shared" si="1"/>
        <v>#REF!</v>
      </c>
      <c r="CI17" s="127" t="e">
        <f t="shared" si="1"/>
        <v>#REF!</v>
      </c>
      <c r="CJ17" s="127" t="e">
        <f t="shared" si="1"/>
        <v>#REF!</v>
      </c>
      <c r="CK17" s="127" t="e">
        <f t="shared" si="1"/>
        <v>#REF!</v>
      </c>
      <c r="CL17" s="127" t="e">
        <f t="shared" si="1"/>
        <v>#REF!</v>
      </c>
      <c r="CM17" s="127" t="e">
        <f t="shared" si="1"/>
        <v>#REF!</v>
      </c>
      <c r="CN17" s="127" t="e">
        <f t="shared" si="1"/>
        <v>#REF!</v>
      </c>
      <c r="CO17" s="127" t="e">
        <f t="shared" si="1"/>
        <v>#REF!</v>
      </c>
      <c r="CP17" s="127" t="e">
        <f t="shared" si="1"/>
        <v>#REF!</v>
      </c>
      <c r="CQ17" s="127" t="e">
        <f t="shared" si="1"/>
        <v>#REF!</v>
      </c>
      <c r="CR17" s="127" t="e">
        <f t="shared" si="1"/>
        <v>#REF!</v>
      </c>
      <c r="CS17" s="127" t="e">
        <f t="shared" si="1"/>
        <v>#REF!</v>
      </c>
      <c r="CT17" s="127" t="e">
        <f t="shared" si="1"/>
        <v>#REF!</v>
      </c>
      <c r="CU17" s="127" t="e">
        <f t="shared" si="1"/>
        <v>#REF!</v>
      </c>
      <c r="CV17" s="127" t="e">
        <f t="shared" si="1"/>
        <v>#REF!</v>
      </c>
      <c r="CW17" s="127" t="e">
        <f t="shared" si="1"/>
        <v>#REF!</v>
      </c>
      <c r="CX17" s="127" t="e">
        <f t="shared" si="1"/>
        <v>#REF!</v>
      </c>
      <c r="CY17" s="127" t="e">
        <f t="shared" si="1"/>
        <v>#REF!</v>
      </c>
      <c r="CZ17" s="127" t="e">
        <f t="shared" si="1"/>
        <v>#REF!</v>
      </c>
      <c r="DA17" s="127" t="e">
        <f t="shared" si="1"/>
        <v>#REF!</v>
      </c>
      <c r="DB17" s="127" t="e">
        <f t="shared" si="1"/>
        <v>#REF!</v>
      </c>
      <c r="DC17" s="127" t="e">
        <f t="shared" si="1"/>
        <v>#REF!</v>
      </c>
      <c r="DD17" s="127" t="e">
        <f t="shared" si="1"/>
        <v>#REF!</v>
      </c>
      <c r="DE17" s="127" t="e">
        <f t="shared" si="1"/>
        <v>#REF!</v>
      </c>
      <c r="DF17" s="127" t="e">
        <f t="shared" si="1"/>
        <v>#REF!</v>
      </c>
      <c r="DG17" s="127" t="e">
        <f t="shared" si="1"/>
        <v>#REF!</v>
      </c>
      <c r="DH17" s="127" t="e">
        <f t="shared" si="1"/>
        <v>#REF!</v>
      </c>
      <c r="DI17" s="127" t="e">
        <f t="shared" si="1"/>
        <v>#REF!</v>
      </c>
      <c r="DJ17" s="127" t="e">
        <f t="shared" si="1"/>
        <v>#REF!</v>
      </c>
      <c r="DK17" s="127" t="e">
        <f t="shared" si="1"/>
        <v>#REF!</v>
      </c>
      <c r="DL17" s="127" t="e">
        <f t="shared" si="1"/>
        <v>#REF!</v>
      </c>
      <c r="DM17" s="127" t="e">
        <f t="shared" si="1"/>
        <v>#REF!</v>
      </c>
      <c r="DN17" s="127" t="e">
        <f t="shared" si="1"/>
        <v>#REF!</v>
      </c>
      <c r="DO17" s="127" t="e">
        <f t="shared" si="1"/>
        <v>#REF!</v>
      </c>
      <c r="DP17" s="127" t="e">
        <f t="shared" si="1"/>
        <v>#REF!</v>
      </c>
      <c r="DQ17" s="127" t="e">
        <f t="shared" si="1"/>
        <v>#REF!</v>
      </c>
      <c r="DR17" s="127" t="e">
        <f t="shared" si="1"/>
        <v>#REF!</v>
      </c>
      <c r="DS17" s="127" t="e">
        <f t="shared" si="1"/>
        <v>#REF!</v>
      </c>
      <c r="DT17" s="127" t="e">
        <f t="shared" si="1"/>
        <v>#REF!</v>
      </c>
      <c r="DU17" s="127" t="e">
        <f t="shared" si="1"/>
        <v>#REF!</v>
      </c>
      <c r="DV17" s="127" t="e">
        <f t="shared" si="1"/>
        <v>#REF!</v>
      </c>
      <c r="DW17" s="127" t="e">
        <f t="shared" si="1"/>
        <v>#REF!</v>
      </c>
      <c r="DX17" s="127" t="e">
        <f t="shared" si="1"/>
        <v>#REF!</v>
      </c>
      <c r="DY17" s="127" t="e">
        <f t="shared" si="1"/>
        <v>#REF!</v>
      </c>
      <c r="DZ17" s="127" t="e">
        <f t="shared" si="1"/>
        <v>#REF!</v>
      </c>
      <c r="EA17" s="127" t="e">
        <f t="shared" ref="EA17:FJ17" si="2">SUM(EA6:EA16)</f>
        <v>#REF!</v>
      </c>
      <c r="EB17" s="127" t="e">
        <f t="shared" si="2"/>
        <v>#REF!</v>
      </c>
      <c r="EC17" s="127" t="e">
        <f t="shared" si="2"/>
        <v>#REF!</v>
      </c>
      <c r="ED17" s="127" t="e">
        <f t="shared" si="2"/>
        <v>#REF!</v>
      </c>
      <c r="EE17" s="127" t="e">
        <f t="shared" si="2"/>
        <v>#REF!</v>
      </c>
      <c r="EF17" s="127" t="e">
        <f t="shared" si="2"/>
        <v>#REF!</v>
      </c>
      <c r="EG17" s="127" t="e">
        <f t="shared" si="2"/>
        <v>#REF!</v>
      </c>
      <c r="EH17" s="127" t="e">
        <f t="shared" si="2"/>
        <v>#REF!</v>
      </c>
      <c r="EI17" s="127" t="e">
        <f t="shared" si="2"/>
        <v>#REF!</v>
      </c>
      <c r="EJ17" s="127" t="e">
        <f t="shared" si="2"/>
        <v>#REF!</v>
      </c>
      <c r="EK17" s="127" t="e">
        <f t="shared" si="2"/>
        <v>#REF!</v>
      </c>
      <c r="EL17" s="127" t="e">
        <f t="shared" si="2"/>
        <v>#REF!</v>
      </c>
      <c r="EM17" s="127" t="e">
        <f t="shared" si="2"/>
        <v>#REF!</v>
      </c>
      <c r="EN17" s="127" t="e">
        <f t="shared" si="2"/>
        <v>#REF!</v>
      </c>
      <c r="EO17" s="127" t="e">
        <f t="shared" si="2"/>
        <v>#REF!</v>
      </c>
      <c r="EP17" s="127" t="e">
        <f t="shared" si="2"/>
        <v>#REF!</v>
      </c>
      <c r="EQ17" s="127" t="e">
        <f t="shared" si="2"/>
        <v>#REF!</v>
      </c>
      <c r="ER17" s="127" t="e">
        <f t="shared" si="2"/>
        <v>#REF!</v>
      </c>
      <c r="ES17" s="127" t="e">
        <f t="shared" si="2"/>
        <v>#REF!</v>
      </c>
      <c r="ET17" s="127" t="e">
        <f t="shared" si="2"/>
        <v>#REF!</v>
      </c>
      <c r="EU17" s="127" t="e">
        <f t="shared" si="2"/>
        <v>#REF!</v>
      </c>
      <c r="EV17" s="127" t="e">
        <f t="shared" si="2"/>
        <v>#REF!</v>
      </c>
      <c r="EW17" s="127" t="e">
        <f t="shared" si="2"/>
        <v>#REF!</v>
      </c>
      <c r="EX17" s="127" t="e">
        <f t="shared" si="2"/>
        <v>#REF!</v>
      </c>
      <c r="EY17" s="127" t="e">
        <f t="shared" si="2"/>
        <v>#REF!</v>
      </c>
      <c r="EZ17" s="127" t="e">
        <f t="shared" si="2"/>
        <v>#REF!</v>
      </c>
      <c r="FA17" s="127" t="e">
        <f t="shared" si="2"/>
        <v>#REF!</v>
      </c>
      <c r="FB17" s="127" t="e">
        <f t="shared" si="2"/>
        <v>#REF!</v>
      </c>
      <c r="FC17" s="127" t="e">
        <f t="shared" si="2"/>
        <v>#REF!</v>
      </c>
      <c r="FD17" s="127" t="e">
        <f t="shared" si="2"/>
        <v>#REF!</v>
      </c>
      <c r="FE17" s="127" t="e">
        <f t="shared" si="2"/>
        <v>#REF!</v>
      </c>
      <c r="FF17" s="127" t="e">
        <f t="shared" si="2"/>
        <v>#REF!</v>
      </c>
      <c r="FG17" s="127" t="e">
        <f t="shared" si="2"/>
        <v>#REF!</v>
      </c>
      <c r="FH17" s="127" t="e">
        <f t="shared" si="2"/>
        <v>#REF!</v>
      </c>
      <c r="FI17" s="127" t="e">
        <f t="shared" si="2"/>
        <v>#REF!</v>
      </c>
      <c r="FJ17" s="127" t="e">
        <f t="shared" si="2"/>
        <v>#REF!</v>
      </c>
    </row>
    <row r="18" spans="1:166" x14ac:dyDescent="0.35">
      <c r="A18" s="122" t="s">
        <v>321</v>
      </c>
    </row>
    <row r="19" spans="1:166" x14ac:dyDescent="0.35">
      <c r="A19" s="122" t="s">
        <v>322</v>
      </c>
      <c r="AF19" s="147"/>
      <c r="AG19" s="147"/>
      <c r="AH19" s="147"/>
      <c r="AI19" s="147"/>
      <c r="AJ19" s="147"/>
      <c r="AK19" s="147"/>
      <c r="AL19" s="147"/>
      <c r="AM19" s="147"/>
      <c r="AN19" s="147"/>
    </row>
    <row r="22" spans="1:166" x14ac:dyDescent="0.35">
      <c r="A22" s="129" t="s">
        <v>394</v>
      </c>
    </row>
    <row r="49" spans="2:13" x14ac:dyDescent="0.35">
      <c r="B49" s="147"/>
      <c r="C49" s="147"/>
      <c r="D49" s="147"/>
      <c r="E49" s="147"/>
      <c r="F49" s="147"/>
      <c r="G49" s="147"/>
      <c r="H49" s="147"/>
      <c r="I49" s="147"/>
      <c r="J49" s="147"/>
      <c r="K49" s="147"/>
      <c r="L49" s="147"/>
      <c r="M49" s="123"/>
    </row>
    <row r="200" spans="1:166" x14ac:dyDescent="0.35">
      <c r="A200" s="129" t="s">
        <v>395</v>
      </c>
    </row>
    <row r="202" spans="1:166" x14ac:dyDescent="0.35">
      <c r="B202" s="122">
        <v>2023</v>
      </c>
      <c r="BE202" s="122">
        <v>2034</v>
      </c>
      <c r="DH202" s="122">
        <v>2050</v>
      </c>
    </row>
    <row r="203" spans="1:166" x14ac:dyDescent="0.35">
      <c r="B203" s="122" t="s">
        <v>374</v>
      </c>
      <c r="C203" s="122" t="s">
        <v>370</v>
      </c>
      <c r="D203" s="122" t="s">
        <v>323</v>
      </c>
      <c r="E203" s="122" t="s">
        <v>324</v>
      </c>
      <c r="F203" s="122" t="s">
        <v>325</v>
      </c>
      <c r="G203" s="122" t="s">
        <v>375</v>
      </c>
      <c r="H203" s="122" t="s">
        <v>371</v>
      </c>
      <c r="I203" s="122" t="s">
        <v>326</v>
      </c>
      <c r="J203" s="122" t="s">
        <v>327</v>
      </c>
      <c r="K203" s="122" t="s">
        <v>328</v>
      </c>
      <c r="L203" s="122" t="s">
        <v>376</v>
      </c>
      <c r="M203" s="122" t="s">
        <v>372</v>
      </c>
      <c r="N203" s="122" t="s">
        <v>329</v>
      </c>
      <c r="O203" s="122" t="s">
        <v>330</v>
      </c>
      <c r="P203" s="122" t="s">
        <v>331</v>
      </c>
      <c r="Q203" s="122" t="s">
        <v>377</v>
      </c>
      <c r="R203" s="122" t="s">
        <v>373</v>
      </c>
      <c r="S203" s="122" t="s">
        <v>332</v>
      </c>
      <c r="T203" s="122" t="s">
        <v>333</v>
      </c>
      <c r="U203" s="122" t="s">
        <v>334</v>
      </c>
      <c r="V203" s="122" t="s">
        <v>335</v>
      </c>
      <c r="W203" s="122" t="s">
        <v>336</v>
      </c>
      <c r="X203" s="122" t="s">
        <v>337</v>
      </c>
      <c r="Y203" s="122" t="s">
        <v>338</v>
      </c>
      <c r="Z203" s="122" t="s">
        <v>339</v>
      </c>
      <c r="AA203" s="122" t="s">
        <v>340</v>
      </c>
      <c r="AB203" s="122" t="s">
        <v>341</v>
      </c>
      <c r="AC203" s="122" t="s">
        <v>342</v>
      </c>
      <c r="AD203" s="122" t="s">
        <v>343</v>
      </c>
      <c r="AE203" s="122" t="s">
        <v>344</v>
      </c>
      <c r="AF203" s="122" t="s">
        <v>345</v>
      </c>
      <c r="AG203" s="122" t="s">
        <v>346</v>
      </c>
      <c r="AH203" s="122" t="s">
        <v>347</v>
      </c>
      <c r="AI203" s="122" t="s">
        <v>348</v>
      </c>
      <c r="AJ203" s="122" t="s">
        <v>349</v>
      </c>
      <c r="AK203" s="122" t="s">
        <v>350</v>
      </c>
      <c r="AL203" s="122" t="s">
        <v>351</v>
      </c>
      <c r="AM203" s="122" t="s">
        <v>352</v>
      </c>
      <c r="AN203" s="122" t="s">
        <v>353</v>
      </c>
      <c r="AO203" s="122" t="s">
        <v>354</v>
      </c>
      <c r="AP203" s="122" t="s">
        <v>355</v>
      </c>
      <c r="AQ203" s="122" t="s">
        <v>356</v>
      </c>
      <c r="AR203" s="122" t="s">
        <v>357</v>
      </c>
      <c r="AS203" s="122" t="s">
        <v>358</v>
      </c>
      <c r="AT203" s="122" t="s">
        <v>359</v>
      </c>
      <c r="AU203" s="122" t="s">
        <v>360</v>
      </c>
      <c r="AV203" s="122" t="s">
        <v>361</v>
      </c>
      <c r="AW203" s="122" t="s">
        <v>362</v>
      </c>
      <c r="AX203" s="122" t="s">
        <v>363</v>
      </c>
      <c r="AY203" s="122" t="s">
        <v>364</v>
      </c>
      <c r="AZ203" s="122" t="s">
        <v>365</v>
      </c>
      <c r="BA203" s="122" t="s">
        <v>366</v>
      </c>
      <c r="BB203" s="122" t="s">
        <v>367</v>
      </c>
      <c r="BC203" s="122" t="s">
        <v>368</v>
      </c>
      <c r="BD203" s="122" t="s">
        <v>369</v>
      </c>
      <c r="BE203" s="122" t="s">
        <v>374</v>
      </c>
      <c r="BF203" s="122" t="s">
        <v>370</v>
      </c>
      <c r="BG203" s="122" t="s">
        <v>323</v>
      </c>
      <c r="BH203" s="122" t="s">
        <v>324</v>
      </c>
      <c r="BI203" s="122" t="s">
        <v>325</v>
      </c>
      <c r="BJ203" s="122" t="s">
        <v>375</v>
      </c>
      <c r="BK203" s="122" t="s">
        <v>371</v>
      </c>
      <c r="BL203" s="122" t="s">
        <v>326</v>
      </c>
      <c r="BM203" s="122" t="s">
        <v>327</v>
      </c>
      <c r="BN203" s="122" t="s">
        <v>328</v>
      </c>
      <c r="BO203" s="122" t="s">
        <v>376</v>
      </c>
      <c r="BP203" s="122" t="s">
        <v>372</v>
      </c>
      <c r="BQ203" s="122" t="s">
        <v>329</v>
      </c>
      <c r="BR203" s="122" t="s">
        <v>330</v>
      </c>
      <c r="BS203" s="122" t="s">
        <v>331</v>
      </c>
      <c r="BT203" s="122" t="s">
        <v>377</v>
      </c>
      <c r="BU203" s="122" t="s">
        <v>373</v>
      </c>
      <c r="BV203" s="122" t="s">
        <v>332</v>
      </c>
      <c r="BW203" s="122" t="s">
        <v>333</v>
      </c>
      <c r="BX203" s="122" t="s">
        <v>334</v>
      </c>
      <c r="BY203" s="122" t="s">
        <v>335</v>
      </c>
      <c r="BZ203" s="122" t="s">
        <v>336</v>
      </c>
      <c r="CA203" s="122" t="s">
        <v>337</v>
      </c>
      <c r="CB203" s="122" t="s">
        <v>338</v>
      </c>
      <c r="CC203" s="122" t="s">
        <v>339</v>
      </c>
      <c r="CD203" s="122" t="s">
        <v>340</v>
      </c>
      <c r="CE203" s="122" t="s">
        <v>341</v>
      </c>
      <c r="CF203" s="122" t="s">
        <v>342</v>
      </c>
      <c r="CG203" s="122" t="s">
        <v>343</v>
      </c>
      <c r="CH203" s="122" t="s">
        <v>344</v>
      </c>
      <c r="CI203" s="122" t="s">
        <v>345</v>
      </c>
      <c r="CJ203" s="122" t="s">
        <v>346</v>
      </c>
      <c r="CK203" s="122" t="s">
        <v>347</v>
      </c>
      <c r="CL203" s="122" t="s">
        <v>348</v>
      </c>
      <c r="CM203" s="122" t="s">
        <v>349</v>
      </c>
      <c r="CN203" s="122" t="s">
        <v>350</v>
      </c>
      <c r="CO203" s="122" t="s">
        <v>351</v>
      </c>
      <c r="CP203" s="122" t="s">
        <v>352</v>
      </c>
      <c r="CQ203" s="122" t="s">
        <v>353</v>
      </c>
      <c r="CR203" s="122" t="s">
        <v>354</v>
      </c>
      <c r="CS203" s="122" t="s">
        <v>355</v>
      </c>
      <c r="CT203" s="122" t="s">
        <v>356</v>
      </c>
      <c r="CU203" s="122" t="s">
        <v>357</v>
      </c>
      <c r="CV203" s="122" t="s">
        <v>358</v>
      </c>
      <c r="CW203" s="122" t="s">
        <v>359</v>
      </c>
      <c r="CX203" s="122" t="s">
        <v>360</v>
      </c>
      <c r="CY203" s="122" t="s">
        <v>361</v>
      </c>
      <c r="CZ203" s="122" t="s">
        <v>362</v>
      </c>
      <c r="DA203" s="122" t="s">
        <v>363</v>
      </c>
      <c r="DB203" s="122" t="s">
        <v>364</v>
      </c>
      <c r="DC203" s="122" t="s">
        <v>365</v>
      </c>
      <c r="DD203" s="122" t="s">
        <v>366</v>
      </c>
      <c r="DE203" s="122" t="s">
        <v>367</v>
      </c>
      <c r="DF203" s="122" t="s">
        <v>368</v>
      </c>
      <c r="DG203" s="122" t="s">
        <v>369</v>
      </c>
      <c r="DH203" s="122" t="s">
        <v>374</v>
      </c>
      <c r="DI203" s="122" t="s">
        <v>370</v>
      </c>
      <c r="DJ203" s="122" t="s">
        <v>323</v>
      </c>
      <c r="DK203" s="122" t="s">
        <v>324</v>
      </c>
      <c r="DL203" s="122" t="s">
        <v>325</v>
      </c>
      <c r="DM203" s="122" t="s">
        <v>375</v>
      </c>
      <c r="DN203" s="122" t="s">
        <v>371</v>
      </c>
      <c r="DO203" s="122" t="s">
        <v>326</v>
      </c>
      <c r="DP203" s="122" t="s">
        <v>327</v>
      </c>
      <c r="DQ203" s="122" t="s">
        <v>328</v>
      </c>
      <c r="DR203" s="122" t="s">
        <v>376</v>
      </c>
      <c r="DS203" s="122" t="s">
        <v>372</v>
      </c>
      <c r="DT203" s="122" t="s">
        <v>329</v>
      </c>
      <c r="DU203" s="122" t="s">
        <v>330</v>
      </c>
      <c r="DV203" s="122" t="s">
        <v>331</v>
      </c>
      <c r="DW203" s="122" t="s">
        <v>377</v>
      </c>
      <c r="DX203" s="122" t="s">
        <v>373</v>
      </c>
      <c r="DY203" s="122" t="s">
        <v>332</v>
      </c>
      <c r="DZ203" s="122" t="s">
        <v>333</v>
      </c>
      <c r="EA203" s="122" t="s">
        <v>334</v>
      </c>
      <c r="EB203" s="122" t="s">
        <v>335</v>
      </c>
      <c r="EC203" s="122" t="s">
        <v>336</v>
      </c>
      <c r="ED203" s="122" t="s">
        <v>337</v>
      </c>
      <c r="EE203" s="122" t="s">
        <v>338</v>
      </c>
      <c r="EF203" s="122" t="s">
        <v>339</v>
      </c>
      <c r="EG203" s="122" t="s">
        <v>340</v>
      </c>
      <c r="EH203" s="122" t="s">
        <v>341</v>
      </c>
      <c r="EI203" s="122" t="s">
        <v>342</v>
      </c>
      <c r="EJ203" s="122" t="s">
        <v>343</v>
      </c>
      <c r="EK203" s="122" t="s">
        <v>344</v>
      </c>
      <c r="EL203" s="122" t="s">
        <v>345</v>
      </c>
      <c r="EM203" s="122" t="s">
        <v>346</v>
      </c>
      <c r="EN203" s="122" t="s">
        <v>347</v>
      </c>
      <c r="EO203" s="122" t="s">
        <v>348</v>
      </c>
      <c r="EP203" s="122" t="s">
        <v>349</v>
      </c>
      <c r="EQ203" s="122" t="s">
        <v>350</v>
      </c>
      <c r="ER203" s="122" t="s">
        <v>351</v>
      </c>
      <c r="ES203" s="122" t="s">
        <v>352</v>
      </c>
      <c r="ET203" s="122" t="s">
        <v>353</v>
      </c>
      <c r="EU203" s="122" t="s">
        <v>354</v>
      </c>
      <c r="EV203" s="122" t="s">
        <v>355</v>
      </c>
      <c r="EW203" s="122" t="s">
        <v>356</v>
      </c>
      <c r="EX203" s="122" t="s">
        <v>357</v>
      </c>
      <c r="EY203" s="122" t="s">
        <v>358</v>
      </c>
      <c r="EZ203" s="122" t="s">
        <v>359</v>
      </c>
      <c r="FA203" s="122" t="s">
        <v>360</v>
      </c>
      <c r="FB203" s="122" t="s">
        <v>361</v>
      </c>
      <c r="FC203" s="122" t="s">
        <v>362</v>
      </c>
      <c r="FD203" s="122" t="s">
        <v>363</v>
      </c>
      <c r="FE203" s="122" t="s">
        <v>364</v>
      </c>
      <c r="FF203" s="122" t="s">
        <v>365</v>
      </c>
      <c r="FG203" s="122" t="s">
        <v>366</v>
      </c>
      <c r="FH203" s="122" t="s">
        <v>367</v>
      </c>
      <c r="FI203" s="122" t="s">
        <v>368</v>
      </c>
      <c r="FJ203" s="122" t="s">
        <v>369</v>
      </c>
    </row>
    <row r="204" spans="1:166" x14ac:dyDescent="0.35">
      <c r="A204" s="122" t="s">
        <v>18</v>
      </c>
      <c r="B204" s="122">
        <v>1.0347449498978036E-3</v>
      </c>
      <c r="C204" s="122">
        <v>1.0347449498978036E-3</v>
      </c>
      <c r="D204" s="122">
        <v>2.0678991054715748E-3</v>
      </c>
      <c r="E204" s="122">
        <v>2.0676718491395704E-3</v>
      </c>
      <c r="F204" s="122">
        <v>1.3444866658711308E-3</v>
      </c>
      <c r="G204" s="122">
        <v>1.0347449498978036E-3</v>
      </c>
      <c r="H204" s="122">
        <v>1.0347449498978036E-3</v>
      </c>
      <c r="I204" s="122">
        <v>2.0678991054715748E-3</v>
      </c>
      <c r="J204" s="122">
        <v>2.0676718491395704E-3</v>
      </c>
      <c r="K204" s="122">
        <v>1.3444866658711308E-3</v>
      </c>
      <c r="L204" s="122">
        <v>1.0347449498978036E-3</v>
      </c>
      <c r="M204" s="122">
        <v>1.0347449498978036E-3</v>
      </c>
      <c r="N204" s="122">
        <v>2.0678991054715748E-3</v>
      </c>
      <c r="O204" s="122">
        <v>2.0676718491395704E-3</v>
      </c>
      <c r="P204" s="122">
        <v>1.3444866658711308E-3</v>
      </c>
      <c r="Q204" s="122">
        <v>1.0347449498978036E-3</v>
      </c>
      <c r="R204" s="122">
        <v>1.0347449498978036E-3</v>
      </c>
      <c r="S204" s="122">
        <v>2.0678991054715748E-3</v>
      </c>
      <c r="T204" s="122">
        <v>2.0676718491395704E-3</v>
      </c>
      <c r="U204" s="122">
        <v>1.3444866658711308E-3</v>
      </c>
      <c r="V204" s="122">
        <v>7.6317014160409149E-4</v>
      </c>
      <c r="W204" s="122">
        <v>1.0902430594344164E-3</v>
      </c>
      <c r="X204" s="122">
        <v>2.1696909640280381E-3</v>
      </c>
      <c r="Y204" s="122">
        <v>2.1632138711235615E-3</v>
      </c>
      <c r="Z204" s="122">
        <v>7.6317014160409149E-4</v>
      </c>
      <c r="AA204" s="122">
        <v>1.0902430594344164E-3</v>
      </c>
      <c r="AB204" s="122">
        <v>2.1696909640280381E-3</v>
      </c>
      <c r="AC204" s="122">
        <v>2.1632138711235615E-3</v>
      </c>
      <c r="AD204" s="122">
        <v>7.6317014160409149E-4</v>
      </c>
      <c r="AE204" s="122">
        <v>1.0902430594344164E-3</v>
      </c>
      <c r="AF204" s="122">
        <v>2.1696909640280381E-3</v>
      </c>
      <c r="AG204" s="122">
        <v>2.1632138711235615E-3</v>
      </c>
      <c r="AH204" s="122">
        <v>7.6317014160409149E-4</v>
      </c>
      <c r="AI204" s="122">
        <v>1.0902430594344164E-3</v>
      </c>
      <c r="AJ204" s="122">
        <v>2.1696909640280381E-3</v>
      </c>
      <c r="AK204" s="122">
        <v>2.1632138711235615E-3</v>
      </c>
      <c r="AL204" s="122">
        <v>6.1053611328327313E-4</v>
      </c>
      <c r="AM204" s="122">
        <v>8.7219444754753307E-4</v>
      </c>
      <c r="AN204" s="122">
        <v>1.7357527712224307E-3</v>
      </c>
      <c r="AO204" s="122">
        <v>1.7305710968988492E-3</v>
      </c>
      <c r="AP204" s="122">
        <v>1.2312752120811793E-2</v>
      </c>
      <c r="AQ204" s="122">
        <v>4.5229574619176545E-2</v>
      </c>
      <c r="AR204" s="122">
        <v>4.4623597015022408E-2</v>
      </c>
      <c r="AS204" s="122">
        <v>6.1563760604058963E-3</v>
      </c>
      <c r="AT204" s="122">
        <v>2.2614787309588272E-2</v>
      </c>
      <c r="AU204" s="122">
        <v>2.2311798507511204E-2</v>
      </c>
      <c r="AV204" s="122">
        <v>6.4495368251871292E-3</v>
      </c>
      <c r="AW204" s="122">
        <v>2.3691681943378187E-2</v>
      </c>
      <c r="AX204" s="122">
        <v>2.3374265103106976E-2</v>
      </c>
      <c r="AY204" s="122">
        <v>8.6820688031365185E-3</v>
      </c>
      <c r="AZ204" s="122">
        <v>3.1892648769932176E-2</v>
      </c>
      <c r="BA204" s="122">
        <v>3.1465356869567078E-2</v>
      </c>
      <c r="BB204" s="122">
        <v>7.5244596293849832E-3</v>
      </c>
      <c r="BC204" s="122">
        <v>2.7640295600607889E-2</v>
      </c>
      <c r="BD204" s="122">
        <v>2.7269975953624806E-2</v>
      </c>
      <c r="BE204" s="122">
        <v>1.0347449498978036E-3</v>
      </c>
      <c r="BF204" s="122">
        <v>1.0347449498978036E-3</v>
      </c>
      <c r="BG204" s="122">
        <v>1.9922371300663917E-3</v>
      </c>
      <c r="BH204" s="122">
        <v>1.9812010201050753E-3</v>
      </c>
      <c r="BI204" s="122">
        <v>1.3120601049831952E-3</v>
      </c>
      <c r="BJ204" s="122">
        <v>1.0347449498978036E-3</v>
      </c>
      <c r="BK204" s="122">
        <v>1.0347449498978036E-3</v>
      </c>
      <c r="BL204" s="122">
        <v>1.9922371300663917E-3</v>
      </c>
      <c r="BM204" s="122">
        <v>1.9812010201050753E-3</v>
      </c>
      <c r="BN204" s="122">
        <v>1.3120601049831952E-3</v>
      </c>
      <c r="BO204" s="122">
        <v>1.0347449498978036E-3</v>
      </c>
      <c r="BP204" s="122">
        <v>1.0347449498978036E-3</v>
      </c>
      <c r="BQ204" s="122">
        <v>1.9922371300663917E-3</v>
      </c>
      <c r="BR204" s="122">
        <v>1.9812010201050753E-3</v>
      </c>
      <c r="BS204" s="122">
        <v>1.3120601049831952E-3</v>
      </c>
      <c r="BT204" s="122">
        <v>1.0347449498978036E-3</v>
      </c>
      <c r="BU204" s="122">
        <v>1.0347449498978036E-3</v>
      </c>
      <c r="BV204" s="122">
        <v>1.9922371300663917E-3</v>
      </c>
      <c r="BW204" s="122">
        <v>1.9812010201050753E-3</v>
      </c>
      <c r="BX204" s="122">
        <v>1.3120601049831952E-3</v>
      </c>
      <c r="BY204" s="122">
        <v>7.6317014160409149E-4</v>
      </c>
      <c r="BZ204" s="122">
        <v>1.0902430594344164E-3</v>
      </c>
      <c r="CA204" s="122">
        <v>1.8209695944675583E-3</v>
      </c>
      <c r="CB204" s="122">
        <v>1.6052596798267933E-3</v>
      </c>
      <c r="CC204" s="122">
        <v>7.6317014160409149E-4</v>
      </c>
      <c r="CD204" s="122">
        <v>1.0902430594344164E-3</v>
      </c>
      <c r="CE204" s="122">
        <v>1.8209695944675583E-3</v>
      </c>
      <c r="CF204" s="122">
        <v>1.6052596798267933E-3</v>
      </c>
      <c r="CG204" s="122">
        <v>7.6317014160409149E-4</v>
      </c>
      <c r="CH204" s="122">
        <v>1.0902430594344164E-3</v>
      </c>
      <c r="CI204" s="122">
        <v>1.8209695944675583E-3</v>
      </c>
      <c r="CJ204" s="122">
        <v>1.6052596798267933E-3</v>
      </c>
      <c r="CK204" s="122">
        <v>7.6317014160409149E-4</v>
      </c>
      <c r="CL204" s="122">
        <v>1.0902430594344164E-3</v>
      </c>
      <c r="CM204" s="122">
        <v>1.8209695944675583E-3</v>
      </c>
      <c r="CN204" s="122">
        <v>1.6052596798267933E-3</v>
      </c>
      <c r="CO204" s="122">
        <v>6.1053611328327313E-4</v>
      </c>
      <c r="CP204" s="122">
        <v>8.7219444754753307E-4</v>
      </c>
      <c r="CQ204" s="122">
        <v>1.4567756755740466E-3</v>
      </c>
      <c r="CR204" s="122">
        <v>1.2842077438614348E-3</v>
      </c>
      <c r="CS204" s="122">
        <v>1.2812227504666332E-2</v>
      </c>
      <c r="CT204" s="122">
        <v>2.3282636418581814E-2</v>
      </c>
      <c r="CU204" s="122">
        <v>2.5967869002591151E-2</v>
      </c>
      <c r="CV204" s="122">
        <v>6.406113752333166E-3</v>
      </c>
      <c r="CW204" s="122">
        <v>1.1641318209290907E-2</v>
      </c>
      <c r="CX204" s="122">
        <v>1.2983934501295575E-2</v>
      </c>
      <c r="CY204" s="122">
        <v>6.7111667881585542E-3</v>
      </c>
      <c r="CZ204" s="122">
        <v>1.2195666695447615E-2</v>
      </c>
      <c r="DA204" s="122">
        <v>1.3602217096595365E-2</v>
      </c>
      <c r="DB204" s="122">
        <v>9.034262984059592E-3</v>
      </c>
      <c r="DC204" s="122">
        <v>1.6417243628487177E-2</v>
      </c>
      <c r="DD204" s="122">
        <v>1.8310676860801452E-2</v>
      </c>
      <c r="DE204" s="122">
        <v>7.8296945861849807E-3</v>
      </c>
      <c r="DF204" s="122">
        <v>1.4228277811355551E-2</v>
      </c>
      <c r="DG204" s="122">
        <v>1.586925327936126E-2</v>
      </c>
      <c r="DH204" s="122">
        <v>1.0347449498978036E-3</v>
      </c>
      <c r="DI204" s="122">
        <v>1.0347449498978036E-3</v>
      </c>
      <c r="DJ204" s="122">
        <v>1.3569040676564852E-3</v>
      </c>
      <c r="DK204" s="122">
        <v>1.2551060916366106E-3</v>
      </c>
      <c r="DL204" s="122">
        <v>1.0397745068075209E-3</v>
      </c>
      <c r="DM204" s="122">
        <v>1.0347449498978036E-3</v>
      </c>
      <c r="DN204" s="122">
        <v>1.0347449498978036E-3</v>
      </c>
      <c r="DO204" s="122">
        <v>1.3569040676564852E-3</v>
      </c>
      <c r="DP204" s="122">
        <v>1.2551060916366106E-3</v>
      </c>
      <c r="DQ204" s="122">
        <v>1.0397745068075209E-3</v>
      </c>
      <c r="DR204" s="122">
        <v>1.0347449498978036E-3</v>
      </c>
      <c r="DS204" s="122">
        <v>1.0347449498978036E-3</v>
      </c>
      <c r="DT204" s="122">
        <v>1.3569040676564852E-3</v>
      </c>
      <c r="DU204" s="122">
        <v>1.2551060916366106E-3</v>
      </c>
      <c r="DV204" s="122">
        <v>1.0397745068075209E-3</v>
      </c>
      <c r="DW204" s="122">
        <v>1.0347449498978036E-3</v>
      </c>
      <c r="DX204" s="122">
        <v>1.0347449498978036E-3</v>
      </c>
      <c r="DY204" s="122">
        <v>1.3569040676564852E-3</v>
      </c>
      <c r="DZ204" s="122">
        <v>1.2551060916366106E-3</v>
      </c>
      <c r="EA204" s="122">
        <v>1.0397745068075209E-3</v>
      </c>
      <c r="EB204" s="122">
        <v>7.6317014160409149E-4</v>
      </c>
      <c r="EC204" s="122">
        <v>1.0902430594344164E-3</v>
      </c>
      <c r="ED204" s="122">
        <v>1.364623687619921E-3</v>
      </c>
      <c r="EE204" s="122">
        <v>8.7510622887057403E-4</v>
      </c>
      <c r="EF204" s="122">
        <v>7.6317014160409149E-4</v>
      </c>
      <c r="EG204" s="122">
        <v>1.0902430594344164E-3</v>
      </c>
      <c r="EH204" s="122">
        <v>1.364623687619921E-3</v>
      </c>
      <c r="EI204" s="122">
        <v>8.7510622887057403E-4</v>
      </c>
      <c r="EJ204" s="122">
        <v>7.6317014160409149E-4</v>
      </c>
      <c r="EK204" s="122">
        <v>1.0902430594344164E-3</v>
      </c>
      <c r="EL204" s="122">
        <v>1.364623687619921E-3</v>
      </c>
      <c r="EM204" s="122">
        <v>8.7510622887057403E-4</v>
      </c>
      <c r="EN204" s="122">
        <v>7.6317014160409149E-4</v>
      </c>
      <c r="EO204" s="122">
        <v>1.0902430594344164E-3</v>
      </c>
      <c r="EP204" s="122">
        <v>1.364623687619921E-3</v>
      </c>
      <c r="EQ204" s="122">
        <v>8.7510622887057403E-4</v>
      </c>
      <c r="ER204" s="122">
        <v>6.1053611328327313E-4</v>
      </c>
      <c r="ES204" s="122">
        <v>8.7219444754753307E-4</v>
      </c>
      <c r="ET204" s="122">
        <v>1.0916989500959369E-3</v>
      </c>
      <c r="EU204" s="122">
        <v>7.0008498309645929E-4</v>
      </c>
      <c r="EV204" s="122">
        <v>1.3465854058382996E-2</v>
      </c>
      <c r="EW204" s="122">
        <v>1.6995417056938824E-2</v>
      </c>
      <c r="EX204" s="122">
        <v>1.8171622640410206E-2</v>
      </c>
      <c r="EY204" s="122">
        <v>6.7329270291914978E-3</v>
      </c>
      <c r="EZ204" s="122">
        <v>8.497708528469412E-3</v>
      </c>
      <c r="FA204" s="122">
        <v>9.0858113202051029E-3</v>
      </c>
      <c r="FB204" s="122">
        <v>7.0535426020101408E-3</v>
      </c>
      <c r="FC204" s="122">
        <v>8.9023613155393838E-3</v>
      </c>
      <c r="FD204" s="122">
        <v>9.5184690021196325E-3</v>
      </c>
      <c r="FE204" s="122">
        <v>9.4951535027059594E-3</v>
      </c>
      <c r="FF204" s="122">
        <v>1.1983947924764555E-2</v>
      </c>
      <c r="FG204" s="122">
        <v>1.2813323656699505E-2</v>
      </c>
      <c r="FH204" s="122">
        <v>8.2291330356784979E-3</v>
      </c>
      <c r="FI204" s="122">
        <v>1.0386088201462616E-2</v>
      </c>
      <c r="FJ204" s="122">
        <v>1.1104880502472903E-2</v>
      </c>
    </row>
    <row r="205" spans="1:166" x14ac:dyDescent="0.35">
      <c r="A205" s="122" t="s">
        <v>28</v>
      </c>
      <c r="B205" s="122">
        <v>-1.0336086682377807E-4</v>
      </c>
      <c r="C205" s="122">
        <v>-1.0336086682377807E-4</v>
      </c>
      <c r="D205" s="122">
        <v>-1.0354267188938173E-4</v>
      </c>
      <c r="E205" s="122">
        <v>-1.0351994625618128E-4</v>
      </c>
      <c r="F205" s="122">
        <v>-6.7337961459558828E-5</v>
      </c>
      <c r="G205" s="122">
        <v>-1.0336086682377807E-4</v>
      </c>
      <c r="H205" s="122">
        <v>-1.0336086682377807E-4</v>
      </c>
      <c r="I205" s="122">
        <v>-1.0354267188938173E-4</v>
      </c>
      <c r="J205" s="122">
        <v>-1.0351994625618128E-4</v>
      </c>
      <c r="K205" s="122">
        <v>-6.7337961459558828E-5</v>
      </c>
      <c r="L205" s="122">
        <v>-1.0336086682377807E-4</v>
      </c>
      <c r="M205" s="122">
        <v>-1.0336086682377807E-4</v>
      </c>
      <c r="N205" s="122">
        <v>-1.0354267188938173E-4</v>
      </c>
      <c r="O205" s="122">
        <v>-1.0351994625618128E-4</v>
      </c>
      <c r="P205" s="122">
        <v>-6.7337961459558828E-5</v>
      </c>
      <c r="Q205" s="122">
        <v>-1.0336086682377807E-4</v>
      </c>
      <c r="R205" s="122">
        <v>-1.0336086682377807E-4</v>
      </c>
      <c r="S205" s="122">
        <v>-1.0354267188938173E-4</v>
      </c>
      <c r="T205" s="122">
        <v>-1.0351994625618128E-4</v>
      </c>
      <c r="U205" s="122">
        <v>-6.7337961459558828E-5</v>
      </c>
      <c r="V205" s="122">
        <v>-1.1346797345547289E-4</v>
      </c>
      <c r="W205" s="122">
        <v>-1.6353645891516245E-4</v>
      </c>
      <c r="X205" s="122">
        <v>-1.1028374067486764E-4</v>
      </c>
      <c r="Y205" s="122">
        <v>-1.0931217673919614E-4</v>
      </c>
      <c r="Z205" s="122">
        <v>-1.1346797345547289E-4</v>
      </c>
      <c r="AA205" s="122">
        <v>-1.6353645891516245E-4</v>
      </c>
      <c r="AB205" s="122">
        <v>-1.1028374067486764E-4</v>
      </c>
      <c r="AC205" s="122">
        <v>-1.0931217673919614E-4</v>
      </c>
      <c r="AD205" s="122">
        <v>-1.1346797345547289E-4</v>
      </c>
      <c r="AE205" s="122">
        <v>-1.6353645891516245E-4</v>
      </c>
      <c r="AF205" s="122">
        <v>-1.1028374067486764E-4</v>
      </c>
      <c r="AG205" s="122">
        <v>-1.0931217673919614E-4</v>
      </c>
      <c r="AH205" s="122">
        <v>-1.1346797345547289E-4</v>
      </c>
      <c r="AI205" s="122">
        <v>-1.6353645891516245E-4</v>
      </c>
      <c r="AJ205" s="122">
        <v>-1.1028374067486764E-4</v>
      </c>
      <c r="AK205" s="122">
        <v>-1.0931217673919614E-4</v>
      </c>
      <c r="AL205" s="122">
        <v>-9.0774378764378309E-5</v>
      </c>
      <c r="AM205" s="122">
        <v>-1.3082916713212997E-4</v>
      </c>
      <c r="AN205" s="122">
        <v>-8.822699253989411E-5</v>
      </c>
      <c r="AO205" s="122">
        <v>-8.7449741391356912E-5</v>
      </c>
      <c r="AP205" s="122">
        <v>-3.0604067820050769E-3</v>
      </c>
      <c r="AQ205" s="122">
        <v>-6.8763971865001975E-3</v>
      </c>
      <c r="AR205" s="122">
        <v>-6.7629302274573042E-3</v>
      </c>
      <c r="AS205" s="122">
        <v>-1.5302033910025385E-3</v>
      </c>
      <c r="AT205" s="122">
        <v>-3.4381985932500987E-3</v>
      </c>
      <c r="AU205" s="122">
        <v>-3.3814651137286521E-3</v>
      </c>
      <c r="AV205" s="122">
        <v>-1.6030702191455165E-3</v>
      </c>
      <c r="AW205" s="122">
        <v>-3.6019223357858176E-3</v>
      </c>
      <c r="AX205" s="122">
        <v>-3.5424872620014453E-3</v>
      </c>
      <c r="AY205" s="122">
        <v>-2.157979141157426E-3</v>
      </c>
      <c r="AZ205" s="122">
        <v>-4.8487416058655246E-3</v>
      </c>
      <c r="BA205" s="122">
        <v>-4.7687328526942532E-3</v>
      </c>
      <c r="BB205" s="122">
        <v>-1.8702485890031025E-3</v>
      </c>
      <c r="BC205" s="122">
        <v>-4.2022427250834543E-3</v>
      </c>
      <c r="BD205" s="122">
        <v>-4.1329018056683528E-3</v>
      </c>
      <c r="BE205" s="122">
        <v>-9.7956440009122124E-5</v>
      </c>
      <c r="BF205" s="122">
        <v>-9.7956440009122124E-5</v>
      </c>
      <c r="BG205" s="122">
        <v>-1.067853279781753E-4</v>
      </c>
      <c r="BH205" s="122">
        <v>-1.0568171698204363E-4</v>
      </c>
      <c r="BI205" s="122">
        <v>-7.1121060229817985E-5</v>
      </c>
      <c r="BJ205" s="122">
        <v>-9.7956440009122124E-5</v>
      </c>
      <c r="BK205" s="122">
        <v>-9.7956440009122124E-5</v>
      </c>
      <c r="BL205" s="122">
        <v>-1.067853279781753E-4</v>
      </c>
      <c r="BM205" s="122">
        <v>-1.0568171698204363E-4</v>
      </c>
      <c r="BN205" s="122">
        <v>-7.1121060229817985E-5</v>
      </c>
      <c r="BO205" s="122">
        <v>-9.7956440009122124E-5</v>
      </c>
      <c r="BP205" s="122">
        <v>-9.7956440009122124E-5</v>
      </c>
      <c r="BQ205" s="122">
        <v>-1.067853279781753E-4</v>
      </c>
      <c r="BR205" s="122">
        <v>-1.0568171698204363E-4</v>
      </c>
      <c r="BS205" s="122">
        <v>-7.1121060229817985E-5</v>
      </c>
      <c r="BT205" s="122">
        <v>-9.7956440009122124E-5</v>
      </c>
      <c r="BU205" s="122">
        <v>-9.7956440009122124E-5</v>
      </c>
      <c r="BV205" s="122">
        <v>-1.067853279781753E-4</v>
      </c>
      <c r="BW205" s="122">
        <v>-1.0568171698204363E-4</v>
      </c>
      <c r="BX205" s="122">
        <v>-7.1121060229817985E-5</v>
      </c>
      <c r="BY205" s="122">
        <v>-8.0920645629828101E-5</v>
      </c>
      <c r="BZ205" s="122">
        <v>-1.6353645891516245E-4</v>
      </c>
      <c r="CA205" s="122">
        <v>-1.5096790045692366E-4</v>
      </c>
      <c r="CB205" s="122">
        <v>-1.1861141326080898E-4</v>
      </c>
      <c r="CC205" s="122">
        <v>-8.0920645629828101E-5</v>
      </c>
      <c r="CD205" s="122">
        <v>-1.6353645891516245E-4</v>
      </c>
      <c r="CE205" s="122">
        <v>-1.5096790045692366E-4</v>
      </c>
      <c r="CF205" s="122">
        <v>-1.1861141326080898E-4</v>
      </c>
      <c r="CG205" s="122">
        <v>-8.0920645629828101E-5</v>
      </c>
      <c r="CH205" s="122">
        <v>-1.6353645891516245E-4</v>
      </c>
      <c r="CI205" s="122">
        <v>-1.5096790045692366E-4</v>
      </c>
      <c r="CJ205" s="122">
        <v>-1.1861141326080898E-4</v>
      </c>
      <c r="CK205" s="122">
        <v>-8.0920645629828101E-5</v>
      </c>
      <c r="CL205" s="122">
        <v>-1.6353645891516245E-4</v>
      </c>
      <c r="CM205" s="122">
        <v>-1.5096790045692366E-4</v>
      </c>
      <c r="CN205" s="122">
        <v>-1.1861141326080898E-4</v>
      </c>
      <c r="CO205" s="122">
        <v>-6.4736516503862478E-5</v>
      </c>
      <c r="CP205" s="122">
        <v>-1.3082916713212997E-4</v>
      </c>
      <c r="CQ205" s="122">
        <v>-1.2077432036553891E-4</v>
      </c>
      <c r="CR205" s="122">
        <v>-9.4889130608647181E-5</v>
      </c>
      <c r="CS205" s="122">
        <v>-2.6108789365359899E-3</v>
      </c>
      <c r="CT205" s="122">
        <v>-4.8323196089938266E-3</v>
      </c>
      <c r="CU205" s="122">
        <v>-5.1950552136465931E-3</v>
      </c>
      <c r="CV205" s="122">
        <v>-1.3054394682679949E-3</v>
      </c>
      <c r="CW205" s="122">
        <v>-2.4161598044969133E-3</v>
      </c>
      <c r="CX205" s="122">
        <v>-2.5975276068232966E-3</v>
      </c>
      <c r="CY205" s="122">
        <v>-1.3676032524712327E-3</v>
      </c>
      <c r="CZ205" s="122">
        <v>-2.5312150332824808E-3</v>
      </c>
      <c r="DA205" s="122">
        <v>-2.721219397624406E-3</v>
      </c>
      <c r="DB205" s="122">
        <v>-1.8410043783266593E-3</v>
      </c>
      <c r="DC205" s="122">
        <v>-3.4074048524956467E-3</v>
      </c>
      <c r="DD205" s="122">
        <v>-3.6631799583405462E-3</v>
      </c>
      <c r="DE205" s="122">
        <v>-1.5955371278831049E-3</v>
      </c>
      <c r="DF205" s="122">
        <v>-2.9530842054962272E-3</v>
      </c>
      <c r="DG205" s="122">
        <v>-3.1747559638951399E-3</v>
      </c>
      <c r="DH205" s="122">
        <v>-5.2575506979843073E-5</v>
      </c>
      <c r="DI205" s="122">
        <v>-5.2575506979843073E-5</v>
      </c>
      <c r="DJ205" s="122">
        <v>-1.3401388779574273E-4</v>
      </c>
      <c r="DK205" s="122">
        <v>-1.2383409019375524E-4</v>
      </c>
      <c r="DL205" s="122">
        <v>-1.0288771335031333E-4</v>
      </c>
      <c r="DM205" s="122">
        <v>-5.2575506979843073E-5</v>
      </c>
      <c r="DN205" s="122">
        <v>-5.2575506979843073E-5</v>
      </c>
      <c r="DO205" s="122">
        <v>-1.3401388779574273E-4</v>
      </c>
      <c r="DP205" s="122">
        <v>-1.2383409019375524E-4</v>
      </c>
      <c r="DQ205" s="122">
        <v>-1.0288771335031333E-4</v>
      </c>
      <c r="DR205" s="122">
        <v>-5.2575506979843073E-5</v>
      </c>
      <c r="DS205" s="122">
        <v>-5.2575506979843073E-5</v>
      </c>
      <c r="DT205" s="122">
        <v>-1.3401388779574273E-4</v>
      </c>
      <c r="DU205" s="122">
        <v>-1.2383409019375524E-4</v>
      </c>
      <c r="DV205" s="122">
        <v>-1.0288771335031333E-4</v>
      </c>
      <c r="DW205" s="122">
        <v>-5.2575506979843073E-5</v>
      </c>
      <c r="DX205" s="122">
        <v>-5.2575506979843073E-5</v>
      </c>
      <c r="DY205" s="122">
        <v>-1.3401388779574273E-4</v>
      </c>
      <c r="DZ205" s="122">
        <v>-1.2383409019375524E-4</v>
      </c>
      <c r="EA205" s="122">
        <v>-1.0288771335031333E-4</v>
      </c>
      <c r="EB205" s="122">
        <v>-3.832836099071531E-5</v>
      </c>
      <c r="EC205" s="122">
        <v>-1.6353645891516245E-4</v>
      </c>
      <c r="ED205" s="122">
        <v>-2.0420825625581466E-4</v>
      </c>
      <c r="EE205" s="122">
        <v>-1.3078063744341263E-4</v>
      </c>
      <c r="EF205" s="122">
        <v>-3.832836099071531E-5</v>
      </c>
      <c r="EG205" s="122">
        <v>-1.6353645891516245E-4</v>
      </c>
      <c r="EH205" s="122">
        <v>-2.0420825625581466E-4</v>
      </c>
      <c r="EI205" s="122">
        <v>-1.3078063744341263E-4</v>
      </c>
      <c r="EJ205" s="122">
        <v>-3.832836099071531E-5</v>
      </c>
      <c r="EK205" s="122">
        <v>-1.6353645891516245E-4</v>
      </c>
      <c r="EL205" s="122">
        <v>-2.0420825625581466E-4</v>
      </c>
      <c r="EM205" s="122">
        <v>-1.3078063744341263E-4</v>
      </c>
      <c r="EN205" s="122">
        <v>-3.832836099071531E-5</v>
      </c>
      <c r="EO205" s="122">
        <v>-1.6353645891516245E-4</v>
      </c>
      <c r="EP205" s="122">
        <v>-2.0420825625581466E-4</v>
      </c>
      <c r="EQ205" s="122">
        <v>-1.3078063744341263E-4</v>
      </c>
      <c r="ER205" s="122">
        <v>-3.0662688792572247E-5</v>
      </c>
      <c r="ES205" s="122">
        <v>-1.3082916713212997E-4</v>
      </c>
      <c r="ET205" s="122">
        <v>-1.6336660500465173E-4</v>
      </c>
      <c r="EU205" s="122">
        <v>-1.046245099547301E-4</v>
      </c>
      <c r="EV205" s="122">
        <v>-2.0226150381909905E-3</v>
      </c>
      <c r="EW205" s="122">
        <v>-4.2467452566839394E-3</v>
      </c>
      <c r="EX205" s="122">
        <v>-4.5398387640590461E-3</v>
      </c>
      <c r="EY205" s="122">
        <v>-1.0113075190954952E-3</v>
      </c>
      <c r="EZ205" s="122">
        <v>-2.1233726283419697E-3</v>
      </c>
      <c r="FA205" s="122">
        <v>-2.2699193820295231E-3</v>
      </c>
      <c r="FB205" s="122">
        <v>-1.0594650200048046E-3</v>
      </c>
      <c r="FC205" s="122">
        <v>-2.2244856106439686E-3</v>
      </c>
      <c r="FD205" s="122">
        <v>-2.3780107811737857E-3</v>
      </c>
      <c r="FE205" s="122">
        <v>-1.4262029115449293E-3</v>
      </c>
      <c r="FF205" s="122">
        <v>-2.9944998604822652E-3</v>
      </c>
      <c r="FG205" s="122">
        <v>-3.2011683592724038E-3</v>
      </c>
      <c r="FH205" s="122">
        <v>-1.2360425233389387E-3</v>
      </c>
      <c r="FI205" s="122">
        <v>-2.5952332124179632E-3</v>
      </c>
      <c r="FJ205" s="122">
        <v>-2.7743459113694167E-3</v>
      </c>
    </row>
    <row r="206" spans="1:166" x14ac:dyDescent="0.35">
      <c r="A206" s="122" t="s">
        <v>14</v>
      </c>
      <c r="B206" s="122">
        <v>6.8982996659853576E-5</v>
      </c>
      <c r="C206" s="122">
        <v>6.8982996659853576E-5</v>
      </c>
      <c r="D206" s="122">
        <v>6.8982996659853576E-5</v>
      </c>
      <c r="E206" s="122">
        <v>6.8982996659853576E-5</v>
      </c>
      <c r="F206" s="122">
        <v>6.8982996659853576E-5</v>
      </c>
      <c r="G206" s="122">
        <v>3.4491498329926784E-4</v>
      </c>
      <c r="H206" s="122">
        <v>3.4491498329926784E-4</v>
      </c>
      <c r="I206" s="122">
        <v>3.4491498329926784E-4</v>
      </c>
      <c r="J206" s="122">
        <v>3.4491498329926784E-4</v>
      </c>
      <c r="K206" s="122">
        <v>3.4491498329926784E-4</v>
      </c>
      <c r="L206" s="122">
        <v>6.8982996659853576E-5</v>
      </c>
      <c r="M206" s="122">
        <v>6.8982996659853576E-5</v>
      </c>
      <c r="N206" s="122">
        <v>6.8982996659853576E-5</v>
      </c>
      <c r="O206" s="122">
        <v>6.8982996659853576E-5</v>
      </c>
      <c r="P206" s="122">
        <v>6.8982996659853576E-5</v>
      </c>
      <c r="Q206" s="122">
        <v>6.8982996659853576E-5</v>
      </c>
      <c r="R206" s="122">
        <v>6.8982996659853576E-5</v>
      </c>
      <c r="S206" s="122">
        <v>6.8982996659853576E-5</v>
      </c>
      <c r="T206" s="122">
        <v>6.8982996659853576E-5</v>
      </c>
      <c r="U206" s="122">
        <v>6.8982996659853576E-5</v>
      </c>
      <c r="V206" s="122">
        <v>7.6311881817276459E-4</v>
      </c>
      <c r="W206" s="122">
        <v>7.6311881817276459E-4</v>
      </c>
      <c r="X206" s="122">
        <v>7.6311881817276459E-4</v>
      </c>
      <c r="Y206" s="122">
        <v>7.6311881817276459E-4</v>
      </c>
      <c r="Z206" s="122">
        <v>1.0174917575636864E-3</v>
      </c>
      <c r="AA206" s="122">
        <v>1.0174917575636864E-3</v>
      </c>
      <c r="AB206" s="122">
        <v>1.0174917575636864E-3</v>
      </c>
      <c r="AC206" s="122">
        <v>1.0174917575636864E-3</v>
      </c>
      <c r="AD206" s="122">
        <v>5.087458787818432E-4</v>
      </c>
      <c r="AE206" s="122">
        <v>5.087458787818432E-4</v>
      </c>
      <c r="AF206" s="122">
        <v>5.087458787818432E-4</v>
      </c>
      <c r="AG206" s="122">
        <v>5.087458787818432E-4</v>
      </c>
      <c r="AH206" s="122">
        <v>7.6311881817276459E-4</v>
      </c>
      <c r="AI206" s="122">
        <v>7.6311881817276459E-4</v>
      </c>
      <c r="AJ206" s="122">
        <v>7.6311881817276459E-4</v>
      </c>
      <c r="AK206" s="122">
        <v>7.6311881817276459E-4</v>
      </c>
      <c r="AL206" s="122">
        <v>5.0874587878184309E-4</v>
      </c>
      <c r="AM206" s="122">
        <v>5.0874587878184309E-4</v>
      </c>
      <c r="AN206" s="122">
        <v>5.0874587878184309E-4</v>
      </c>
      <c r="AO206" s="122">
        <v>5.0874587878184309E-4</v>
      </c>
      <c r="AP206" s="122">
        <v>3.9525224209566176E-3</v>
      </c>
      <c r="AQ206" s="122">
        <v>3.9525224209566176E-3</v>
      </c>
      <c r="AR206" s="122">
        <v>3.9525224209566176E-3</v>
      </c>
      <c r="AS206" s="122">
        <v>2.964391815717463E-3</v>
      </c>
      <c r="AT206" s="122">
        <v>2.964391815717463E-3</v>
      </c>
      <c r="AU206" s="122">
        <v>2.964391815717463E-3</v>
      </c>
      <c r="AV206" s="122">
        <v>1.552776665375814E-3</v>
      </c>
      <c r="AW206" s="122">
        <v>1.552776665375814E-3</v>
      </c>
      <c r="AX206" s="122">
        <v>1.552776665375814E-3</v>
      </c>
      <c r="AY206" s="122">
        <v>2.7870350404181278E-3</v>
      </c>
      <c r="AZ206" s="122">
        <v>2.7870350404181278E-3</v>
      </c>
      <c r="BA206" s="122">
        <v>2.7870350404181278E-3</v>
      </c>
      <c r="BB206" s="122">
        <v>2.1135015723170798E-3</v>
      </c>
      <c r="BC206" s="122">
        <v>2.1135015723170798E-3</v>
      </c>
      <c r="BD206" s="122">
        <v>2.1135015723170798E-3</v>
      </c>
      <c r="BE206" s="122">
        <v>6.8982996659853576E-5</v>
      </c>
      <c r="BF206" s="122">
        <v>6.8982996659853576E-5</v>
      </c>
      <c r="BG206" s="122">
        <v>6.8982996659853576E-5</v>
      </c>
      <c r="BH206" s="122">
        <v>6.8982996659853576E-5</v>
      </c>
      <c r="BI206" s="122">
        <v>6.8982996659853576E-5</v>
      </c>
      <c r="BJ206" s="122">
        <v>3.4491498329926784E-4</v>
      </c>
      <c r="BK206" s="122">
        <v>3.4491498329926784E-4</v>
      </c>
      <c r="BL206" s="122">
        <v>3.4491498329926784E-4</v>
      </c>
      <c r="BM206" s="122">
        <v>3.4491498329926784E-4</v>
      </c>
      <c r="BN206" s="122">
        <v>3.4491498329926784E-4</v>
      </c>
      <c r="BO206" s="122">
        <v>6.8982996659853576E-5</v>
      </c>
      <c r="BP206" s="122">
        <v>6.8982996659853576E-5</v>
      </c>
      <c r="BQ206" s="122">
        <v>6.8982996659853576E-5</v>
      </c>
      <c r="BR206" s="122">
        <v>6.8982996659853576E-5</v>
      </c>
      <c r="BS206" s="122">
        <v>6.8982996659853576E-5</v>
      </c>
      <c r="BT206" s="122">
        <v>6.8982996659853576E-5</v>
      </c>
      <c r="BU206" s="122">
        <v>6.8982996659853576E-5</v>
      </c>
      <c r="BV206" s="122">
        <v>6.8982996659853576E-5</v>
      </c>
      <c r="BW206" s="122">
        <v>6.8982996659853576E-5</v>
      </c>
      <c r="BX206" s="122">
        <v>6.8982996659853576E-5</v>
      </c>
      <c r="BY206" s="122">
        <v>7.6311881817276459E-4</v>
      </c>
      <c r="BZ206" s="122">
        <v>7.6311881817276459E-4</v>
      </c>
      <c r="CA206" s="122">
        <v>7.6311881817276459E-4</v>
      </c>
      <c r="CB206" s="122">
        <v>7.6311881817276459E-4</v>
      </c>
      <c r="CC206" s="122">
        <v>1.0174917575636864E-3</v>
      </c>
      <c r="CD206" s="122">
        <v>1.0174917575636864E-3</v>
      </c>
      <c r="CE206" s="122">
        <v>1.0174917575636864E-3</v>
      </c>
      <c r="CF206" s="122">
        <v>1.0174917575636864E-3</v>
      </c>
      <c r="CG206" s="122">
        <v>5.087458787818432E-4</v>
      </c>
      <c r="CH206" s="122">
        <v>5.087458787818432E-4</v>
      </c>
      <c r="CI206" s="122">
        <v>5.087458787818432E-4</v>
      </c>
      <c r="CJ206" s="122">
        <v>5.087458787818432E-4</v>
      </c>
      <c r="CK206" s="122">
        <v>7.6311881817276459E-4</v>
      </c>
      <c r="CL206" s="122">
        <v>7.6311881817276459E-4</v>
      </c>
      <c r="CM206" s="122">
        <v>7.6311881817276459E-4</v>
      </c>
      <c r="CN206" s="122">
        <v>7.6311881817276459E-4</v>
      </c>
      <c r="CO206" s="122">
        <v>5.0874587878184309E-4</v>
      </c>
      <c r="CP206" s="122">
        <v>5.0874587878184309E-4</v>
      </c>
      <c r="CQ206" s="122">
        <v>5.0874587878184309E-4</v>
      </c>
      <c r="CR206" s="122">
        <v>5.0874587878184309E-4</v>
      </c>
      <c r="CS206" s="122">
        <v>3.9525224209566176E-3</v>
      </c>
      <c r="CT206" s="122">
        <v>3.9525224209566176E-3</v>
      </c>
      <c r="CU206" s="122">
        <v>3.9525224209566176E-3</v>
      </c>
      <c r="CV206" s="122">
        <v>2.964391815717463E-3</v>
      </c>
      <c r="CW206" s="122">
        <v>2.964391815717463E-3</v>
      </c>
      <c r="CX206" s="122">
        <v>2.964391815717463E-3</v>
      </c>
      <c r="CY206" s="122">
        <v>1.552776665375814E-3</v>
      </c>
      <c r="CZ206" s="122">
        <v>1.552776665375814E-3</v>
      </c>
      <c r="DA206" s="122">
        <v>1.552776665375814E-3</v>
      </c>
      <c r="DB206" s="122">
        <v>2.7870350404181278E-3</v>
      </c>
      <c r="DC206" s="122">
        <v>2.7870350404181278E-3</v>
      </c>
      <c r="DD206" s="122">
        <v>2.7870350404181278E-3</v>
      </c>
      <c r="DE206" s="122">
        <v>2.1135015723170798E-3</v>
      </c>
      <c r="DF206" s="122">
        <v>2.1135015723170798E-3</v>
      </c>
      <c r="DG206" s="122">
        <v>2.1135015723170798E-3</v>
      </c>
      <c r="DH206" s="122">
        <v>6.8982996659853576E-5</v>
      </c>
      <c r="DI206" s="122">
        <v>6.8982996659853576E-5</v>
      </c>
      <c r="DJ206" s="122">
        <v>6.8982996659853576E-5</v>
      </c>
      <c r="DK206" s="122">
        <v>6.8982996659853576E-5</v>
      </c>
      <c r="DL206" s="122">
        <v>6.8982996659853576E-5</v>
      </c>
      <c r="DM206" s="122">
        <v>3.4491498329926784E-4</v>
      </c>
      <c r="DN206" s="122">
        <v>3.4491498329926784E-4</v>
      </c>
      <c r="DO206" s="122">
        <v>3.4491498329926784E-4</v>
      </c>
      <c r="DP206" s="122">
        <v>3.4491498329926784E-4</v>
      </c>
      <c r="DQ206" s="122">
        <v>3.4491498329926784E-4</v>
      </c>
      <c r="DR206" s="122">
        <v>6.8982996659853576E-5</v>
      </c>
      <c r="DS206" s="122">
        <v>6.8982996659853576E-5</v>
      </c>
      <c r="DT206" s="122">
        <v>6.8982996659853576E-5</v>
      </c>
      <c r="DU206" s="122">
        <v>6.8982996659853576E-5</v>
      </c>
      <c r="DV206" s="122">
        <v>6.8982996659853576E-5</v>
      </c>
      <c r="DW206" s="122">
        <v>6.8982996659853576E-5</v>
      </c>
      <c r="DX206" s="122">
        <v>6.8982996659853576E-5</v>
      </c>
      <c r="DY206" s="122">
        <v>6.8982996659853576E-5</v>
      </c>
      <c r="DZ206" s="122">
        <v>6.8982996659853576E-5</v>
      </c>
      <c r="EA206" s="122">
        <v>6.8982996659853576E-5</v>
      </c>
      <c r="EB206" s="122">
        <v>7.6311881817276459E-4</v>
      </c>
      <c r="EC206" s="122">
        <v>7.6311881817276459E-4</v>
      </c>
      <c r="ED206" s="122">
        <v>7.6311881817276459E-4</v>
      </c>
      <c r="EE206" s="122">
        <v>7.6311881817276459E-4</v>
      </c>
      <c r="EF206" s="122">
        <v>1.0174917575636864E-3</v>
      </c>
      <c r="EG206" s="122">
        <v>1.0174917575636864E-3</v>
      </c>
      <c r="EH206" s="122">
        <v>1.0174917575636864E-3</v>
      </c>
      <c r="EI206" s="122">
        <v>1.0174917575636864E-3</v>
      </c>
      <c r="EJ206" s="122">
        <v>5.087458787818432E-4</v>
      </c>
      <c r="EK206" s="122">
        <v>5.087458787818432E-4</v>
      </c>
      <c r="EL206" s="122">
        <v>5.087458787818432E-4</v>
      </c>
      <c r="EM206" s="122">
        <v>5.087458787818432E-4</v>
      </c>
      <c r="EN206" s="122">
        <v>7.6311881817276459E-4</v>
      </c>
      <c r="EO206" s="122">
        <v>7.6311881817276459E-4</v>
      </c>
      <c r="EP206" s="122">
        <v>7.6311881817276459E-4</v>
      </c>
      <c r="EQ206" s="122">
        <v>7.6311881817276459E-4</v>
      </c>
      <c r="ER206" s="122">
        <v>5.0874587878184309E-4</v>
      </c>
      <c r="ES206" s="122">
        <v>5.0874587878184309E-4</v>
      </c>
      <c r="ET206" s="122">
        <v>5.0874587878184309E-4</v>
      </c>
      <c r="EU206" s="122">
        <v>5.0874587878184309E-4</v>
      </c>
      <c r="EV206" s="122">
        <v>3.9525224209566176E-3</v>
      </c>
      <c r="EW206" s="122">
        <v>3.9525224209566176E-3</v>
      </c>
      <c r="EX206" s="122">
        <v>3.9525224209566176E-3</v>
      </c>
      <c r="EY206" s="122">
        <v>2.964391815717463E-3</v>
      </c>
      <c r="EZ206" s="122">
        <v>2.964391815717463E-3</v>
      </c>
      <c r="FA206" s="122">
        <v>2.964391815717463E-3</v>
      </c>
      <c r="FB206" s="122">
        <v>1.552776665375814E-3</v>
      </c>
      <c r="FC206" s="122">
        <v>1.552776665375814E-3</v>
      </c>
      <c r="FD206" s="122">
        <v>1.552776665375814E-3</v>
      </c>
      <c r="FE206" s="122">
        <v>2.7870350404181278E-3</v>
      </c>
      <c r="FF206" s="122">
        <v>2.7870350404181278E-3</v>
      </c>
      <c r="FG206" s="122">
        <v>2.7870350404181278E-3</v>
      </c>
      <c r="FH206" s="122">
        <v>2.1135015723170798E-3</v>
      </c>
      <c r="FI206" s="122">
        <v>2.1135015723170798E-3</v>
      </c>
      <c r="FJ206" s="122">
        <v>2.1135015723170798E-3</v>
      </c>
    </row>
    <row r="207" spans="1:166" x14ac:dyDescent="0.35">
      <c r="A207" s="122" t="s">
        <v>25</v>
      </c>
      <c r="B207" s="122">
        <v>-6.8982996659853564E-6</v>
      </c>
      <c r="C207" s="122">
        <v>-6.8982996659853564E-6</v>
      </c>
      <c r="D207" s="122">
        <v>-6.8982996659853564E-6</v>
      </c>
      <c r="E207" s="122">
        <v>-6.8982996659853564E-6</v>
      </c>
      <c r="F207" s="122">
        <v>-6.8982996659853564E-6</v>
      </c>
      <c r="G207" s="122">
        <v>-3.4491498329926788E-5</v>
      </c>
      <c r="H207" s="122">
        <v>-3.4491498329926788E-5</v>
      </c>
      <c r="I207" s="122">
        <v>-3.4491498329926788E-5</v>
      </c>
      <c r="J207" s="122">
        <v>-3.4491498329926788E-5</v>
      </c>
      <c r="K207" s="122">
        <v>-3.4491498329926788E-5</v>
      </c>
      <c r="L207" s="122">
        <v>-6.8982996659853564E-6</v>
      </c>
      <c r="M207" s="122">
        <v>-6.8982996659853564E-6</v>
      </c>
      <c r="N207" s="122">
        <v>-6.8982996659853564E-6</v>
      </c>
      <c r="O207" s="122">
        <v>-6.8982996659853564E-6</v>
      </c>
      <c r="P207" s="122">
        <v>-6.8982996659853564E-6</v>
      </c>
      <c r="Q207" s="122">
        <v>-6.8982996659853564E-6</v>
      </c>
      <c r="R207" s="122">
        <v>-6.8982996659853564E-6</v>
      </c>
      <c r="S207" s="122">
        <v>-6.8982996659853564E-6</v>
      </c>
      <c r="T207" s="122">
        <v>-6.8982996659853564E-6</v>
      </c>
      <c r="U207" s="122">
        <v>-6.8982996659853564E-6</v>
      </c>
      <c r="V207" s="122">
        <v>-3.8155940908638231E-5</v>
      </c>
      <c r="W207" s="122">
        <v>-3.8155940908638231E-5</v>
      </c>
      <c r="X207" s="122">
        <v>-3.8155940908638231E-5</v>
      </c>
      <c r="Y207" s="122">
        <v>-3.8155940908638231E-5</v>
      </c>
      <c r="Z207" s="122">
        <v>-5.0874587878184312E-5</v>
      </c>
      <c r="AA207" s="122">
        <v>-5.0874587878184312E-5</v>
      </c>
      <c r="AB207" s="122">
        <v>-5.0874587878184312E-5</v>
      </c>
      <c r="AC207" s="122">
        <v>-5.0874587878184312E-5</v>
      </c>
      <c r="AD207" s="122">
        <v>-2.5437293939092156E-5</v>
      </c>
      <c r="AE207" s="122">
        <v>-2.5437293939092156E-5</v>
      </c>
      <c r="AF207" s="122">
        <v>-2.5437293939092156E-5</v>
      </c>
      <c r="AG207" s="122">
        <v>-2.5437293939092156E-5</v>
      </c>
      <c r="AH207" s="122">
        <v>-3.8155940908638231E-5</v>
      </c>
      <c r="AI207" s="122">
        <v>-3.8155940908638231E-5</v>
      </c>
      <c r="AJ207" s="122">
        <v>-3.8155940908638231E-5</v>
      </c>
      <c r="AK207" s="122">
        <v>-3.8155940908638231E-5</v>
      </c>
      <c r="AL207" s="122">
        <v>-2.5437293939092159E-5</v>
      </c>
      <c r="AM207" s="122">
        <v>-2.5437293939092159E-5</v>
      </c>
      <c r="AN207" s="122">
        <v>-2.5437293939092159E-5</v>
      </c>
      <c r="AO207" s="122">
        <v>-2.5437293939092159E-5</v>
      </c>
      <c r="AP207" s="122">
        <v>-9.8813060523915441E-4</v>
      </c>
      <c r="AQ207" s="122">
        <v>-9.8813060523915441E-4</v>
      </c>
      <c r="AR207" s="122">
        <v>-9.8813060523915441E-4</v>
      </c>
      <c r="AS207" s="122">
        <v>-7.4109795392936575E-4</v>
      </c>
      <c r="AT207" s="122">
        <v>-7.4109795392936575E-4</v>
      </c>
      <c r="AU207" s="122">
        <v>-7.4109795392936575E-4</v>
      </c>
      <c r="AV207" s="122">
        <v>-3.8819416634395349E-4</v>
      </c>
      <c r="AW207" s="122">
        <v>-3.8819416634395349E-4</v>
      </c>
      <c r="AX207" s="122">
        <v>-3.8819416634395349E-4</v>
      </c>
      <c r="AY207" s="122">
        <v>-6.9675876010453195E-4</v>
      </c>
      <c r="AZ207" s="122">
        <v>-6.9675876010453195E-4</v>
      </c>
      <c r="BA207" s="122">
        <v>-6.9675876010453195E-4</v>
      </c>
      <c r="BB207" s="122">
        <v>-5.2837539307926996E-4</v>
      </c>
      <c r="BC207" s="122">
        <v>-5.2837539307926996E-4</v>
      </c>
      <c r="BD207" s="122">
        <v>-5.2837539307926996E-4</v>
      </c>
      <c r="BE207" s="122">
        <v>-6.8982996659853564E-6</v>
      </c>
      <c r="BF207" s="122">
        <v>-6.8982996659853564E-6</v>
      </c>
      <c r="BG207" s="122">
        <v>-6.8982996659853564E-6</v>
      </c>
      <c r="BH207" s="122">
        <v>-6.8982996659853564E-6</v>
      </c>
      <c r="BI207" s="122">
        <v>-6.8982996659853564E-6</v>
      </c>
      <c r="BJ207" s="122">
        <v>-3.4491498329926788E-5</v>
      </c>
      <c r="BK207" s="122">
        <v>-3.4491498329926788E-5</v>
      </c>
      <c r="BL207" s="122">
        <v>-3.4491498329926788E-5</v>
      </c>
      <c r="BM207" s="122">
        <v>-3.4491498329926788E-5</v>
      </c>
      <c r="BN207" s="122">
        <v>-3.4491498329926788E-5</v>
      </c>
      <c r="BO207" s="122">
        <v>-6.8982996659853564E-6</v>
      </c>
      <c r="BP207" s="122">
        <v>-6.8982996659853564E-6</v>
      </c>
      <c r="BQ207" s="122">
        <v>-6.8982996659853564E-6</v>
      </c>
      <c r="BR207" s="122">
        <v>-6.8982996659853564E-6</v>
      </c>
      <c r="BS207" s="122">
        <v>-6.8982996659853564E-6</v>
      </c>
      <c r="BT207" s="122">
        <v>-6.8982996659853564E-6</v>
      </c>
      <c r="BU207" s="122">
        <v>-6.8982996659853564E-6</v>
      </c>
      <c r="BV207" s="122">
        <v>-6.8982996659853564E-6</v>
      </c>
      <c r="BW207" s="122">
        <v>-6.8982996659853564E-6</v>
      </c>
      <c r="BX207" s="122">
        <v>-6.8982996659853564E-6</v>
      </c>
      <c r="BY207" s="122">
        <v>-3.8155940908638231E-5</v>
      </c>
      <c r="BZ207" s="122">
        <v>-3.8155940908638231E-5</v>
      </c>
      <c r="CA207" s="122">
        <v>-3.8155940908638231E-5</v>
      </c>
      <c r="CB207" s="122">
        <v>-3.8155940908638231E-5</v>
      </c>
      <c r="CC207" s="122">
        <v>-5.0874587878184312E-5</v>
      </c>
      <c r="CD207" s="122">
        <v>-5.0874587878184312E-5</v>
      </c>
      <c r="CE207" s="122">
        <v>-5.0874587878184312E-5</v>
      </c>
      <c r="CF207" s="122">
        <v>-5.0874587878184312E-5</v>
      </c>
      <c r="CG207" s="122">
        <v>-2.5437293939092156E-5</v>
      </c>
      <c r="CH207" s="122">
        <v>-2.5437293939092156E-5</v>
      </c>
      <c r="CI207" s="122">
        <v>-2.5437293939092156E-5</v>
      </c>
      <c r="CJ207" s="122">
        <v>-2.5437293939092156E-5</v>
      </c>
      <c r="CK207" s="122">
        <v>-3.8155940908638231E-5</v>
      </c>
      <c r="CL207" s="122">
        <v>-3.8155940908638231E-5</v>
      </c>
      <c r="CM207" s="122">
        <v>-3.8155940908638231E-5</v>
      </c>
      <c r="CN207" s="122">
        <v>-3.8155940908638231E-5</v>
      </c>
      <c r="CO207" s="122">
        <v>-2.5437293939092159E-5</v>
      </c>
      <c r="CP207" s="122">
        <v>-2.5437293939092159E-5</v>
      </c>
      <c r="CQ207" s="122">
        <v>-2.5437293939092159E-5</v>
      </c>
      <c r="CR207" s="122">
        <v>-2.5437293939092159E-5</v>
      </c>
      <c r="CS207" s="122">
        <v>-9.8813060523915441E-4</v>
      </c>
      <c r="CT207" s="122">
        <v>-9.8813060523915441E-4</v>
      </c>
      <c r="CU207" s="122">
        <v>-9.8813060523915441E-4</v>
      </c>
      <c r="CV207" s="122">
        <v>-7.4109795392936575E-4</v>
      </c>
      <c r="CW207" s="122">
        <v>-7.4109795392936575E-4</v>
      </c>
      <c r="CX207" s="122">
        <v>-7.4109795392936575E-4</v>
      </c>
      <c r="CY207" s="122">
        <v>-3.8819416634395349E-4</v>
      </c>
      <c r="CZ207" s="122">
        <v>-3.8819416634395349E-4</v>
      </c>
      <c r="DA207" s="122">
        <v>-3.8819416634395349E-4</v>
      </c>
      <c r="DB207" s="122">
        <v>-6.9675876010453195E-4</v>
      </c>
      <c r="DC207" s="122">
        <v>-6.9675876010453195E-4</v>
      </c>
      <c r="DD207" s="122">
        <v>-6.9675876010453195E-4</v>
      </c>
      <c r="DE207" s="122">
        <v>-5.2837539307926996E-4</v>
      </c>
      <c r="DF207" s="122">
        <v>-5.2837539307926996E-4</v>
      </c>
      <c r="DG207" s="122">
        <v>-5.2837539307926996E-4</v>
      </c>
      <c r="DH207" s="122">
        <v>-6.8982996659853564E-6</v>
      </c>
      <c r="DI207" s="122">
        <v>-6.8982996659853564E-6</v>
      </c>
      <c r="DJ207" s="122">
        <v>-6.8982996659853564E-6</v>
      </c>
      <c r="DK207" s="122">
        <v>-6.8982996659853564E-6</v>
      </c>
      <c r="DL207" s="122">
        <v>-6.8982996659853564E-6</v>
      </c>
      <c r="DM207" s="122">
        <v>-3.4491498329926788E-5</v>
      </c>
      <c r="DN207" s="122">
        <v>-3.4491498329926788E-5</v>
      </c>
      <c r="DO207" s="122">
        <v>-3.4491498329926788E-5</v>
      </c>
      <c r="DP207" s="122">
        <v>-3.4491498329926788E-5</v>
      </c>
      <c r="DQ207" s="122">
        <v>-3.4491498329926788E-5</v>
      </c>
      <c r="DR207" s="122">
        <v>-6.8982996659853564E-6</v>
      </c>
      <c r="DS207" s="122">
        <v>-6.8982996659853564E-6</v>
      </c>
      <c r="DT207" s="122">
        <v>-6.8982996659853564E-6</v>
      </c>
      <c r="DU207" s="122">
        <v>-6.8982996659853564E-6</v>
      </c>
      <c r="DV207" s="122">
        <v>-6.8982996659853564E-6</v>
      </c>
      <c r="DW207" s="122">
        <v>-6.8982996659853564E-6</v>
      </c>
      <c r="DX207" s="122">
        <v>-6.8982996659853564E-6</v>
      </c>
      <c r="DY207" s="122">
        <v>-6.8982996659853564E-6</v>
      </c>
      <c r="DZ207" s="122">
        <v>-6.8982996659853564E-6</v>
      </c>
      <c r="EA207" s="122">
        <v>-6.8982996659853564E-6</v>
      </c>
      <c r="EB207" s="122">
        <v>-3.8155940908638231E-5</v>
      </c>
      <c r="EC207" s="122">
        <v>-3.8155940908638231E-5</v>
      </c>
      <c r="ED207" s="122">
        <v>-3.8155940908638231E-5</v>
      </c>
      <c r="EE207" s="122">
        <v>-3.8155940908638231E-5</v>
      </c>
      <c r="EF207" s="122">
        <v>-5.0874587878184312E-5</v>
      </c>
      <c r="EG207" s="122">
        <v>-5.0874587878184312E-5</v>
      </c>
      <c r="EH207" s="122">
        <v>-5.0874587878184312E-5</v>
      </c>
      <c r="EI207" s="122">
        <v>-5.0874587878184312E-5</v>
      </c>
      <c r="EJ207" s="122">
        <v>-2.5437293939092156E-5</v>
      </c>
      <c r="EK207" s="122">
        <v>-2.5437293939092156E-5</v>
      </c>
      <c r="EL207" s="122">
        <v>-2.5437293939092156E-5</v>
      </c>
      <c r="EM207" s="122">
        <v>-2.5437293939092156E-5</v>
      </c>
      <c r="EN207" s="122">
        <v>-3.8155940908638231E-5</v>
      </c>
      <c r="EO207" s="122">
        <v>-3.8155940908638231E-5</v>
      </c>
      <c r="EP207" s="122">
        <v>-3.8155940908638231E-5</v>
      </c>
      <c r="EQ207" s="122">
        <v>-3.8155940908638231E-5</v>
      </c>
      <c r="ER207" s="122">
        <v>-2.5437293939092159E-5</v>
      </c>
      <c r="ES207" s="122">
        <v>-2.5437293939092159E-5</v>
      </c>
      <c r="ET207" s="122">
        <v>-2.5437293939092159E-5</v>
      </c>
      <c r="EU207" s="122">
        <v>-2.5437293939092159E-5</v>
      </c>
      <c r="EV207" s="122">
        <v>-9.8813060523915441E-4</v>
      </c>
      <c r="EW207" s="122">
        <v>-9.8813060523915441E-4</v>
      </c>
      <c r="EX207" s="122">
        <v>-9.8813060523915441E-4</v>
      </c>
      <c r="EY207" s="122">
        <v>-7.4109795392936575E-4</v>
      </c>
      <c r="EZ207" s="122">
        <v>-7.4109795392936575E-4</v>
      </c>
      <c r="FA207" s="122">
        <v>-7.4109795392936575E-4</v>
      </c>
      <c r="FB207" s="122">
        <v>-3.8819416634395349E-4</v>
      </c>
      <c r="FC207" s="122">
        <v>-3.8819416634395349E-4</v>
      </c>
      <c r="FD207" s="122">
        <v>-3.8819416634395349E-4</v>
      </c>
      <c r="FE207" s="122">
        <v>-6.9675876010453195E-4</v>
      </c>
      <c r="FF207" s="122">
        <v>-6.9675876010453195E-4</v>
      </c>
      <c r="FG207" s="122">
        <v>-6.9675876010453195E-4</v>
      </c>
      <c r="FH207" s="122">
        <v>-5.2837539307926996E-4</v>
      </c>
      <c r="FI207" s="122">
        <v>-5.2837539307926996E-4</v>
      </c>
      <c r="FJ207" s="122">
        <v>-5.2837539307926996E-4</v>
      </c>
    </row>
    <row r="208" spans="1:166" x14ac:dyDescent="0.35">
      <c r="A208" s="122" t="s">
        <v>37</v>
      </c>
      <c r="B208" s="122">
        <v>1.0654632223259673E-3</v>
      </c>
      <c r="C208" s="122">
        <v>1.0654632223259673E-3</v>
      </c>
      <c r="D208" s="122">
        <v>1.0654632223259673E-3</v>
      </c>
      <c r="E208" s="122">
        <v>1.0654632223259673E-3</v>
      </c>
      <c r="F208" s="122">
        <v>1.0654632223259673E-3</v>
      </c>
      <c r="G208" s="122">
        <v>1.0654632223259673E-3</v>
      </c>
      <c r="H208" s="122">
        <v>1.0654632223259673E-3</v>
      </c>
      <c r="I208" s="122">
        <v>1.0654632223259673E-3</v>
      </c>
      <c r="J208" s="122">
        <v>1.0654632223259673E-3</v>
      </c>
      <c r="K208" s="122">
        <v>1.0654632223259673E-3</v>
      </c>
      <c r="L208" s="122">
        <v>1.0654632223259673E-3</v>
      </c>
      <c r="M208" s="122">
        <v>1.0654632223259673E-3</v>
      </c>
      <c r="N208" s="122">
        <v>1.0654632223259673E-3</v>
      </c>
      <c r="O208" s="122">
        <v>1.0654632223259673E-3</v>
      </c>
      <c r="P208" s="122">
        <v>1.0654632223259673E-3</v>
      </c>
      <c r="Q208" s="122">
        <v>1.0654632223259673E-3</v>
      </c>
      <c r="R208" s="122">
        <v>1.0654632223259673E-3</v>
      </c>
      <c r="S208" s="122">
        <v>1.0654632223259673E-3</v>
      </c>
      <c r="T208" s="122">
        <v>1.0654632223259673E-3</v>
      </c>
      <c r="U208" s="122">
        <v>1.0654632223259673E-3</v>
      </c>
      <c r="V208" s="122">
        <v>1.6256502601040416E-3</v>
      </c>
      <c r="W208" s="122">
        <v>1.6256502601040416E-3</v>
      </c>
      <c r="X208" s="122">
        <v>1.6256502601040416E-3</v>
      </c>
      <c r="Y208" s="122">
        <v>1.6256502601040416E-3</v>
      </c>
      <c r="Z208" s="122">
        <v>1.5506202480992397E-3</v>
      </c>
      <c r="AA208" s="122">
        <v>1.5506202480992397E-3</v>
      </c>
      <c r="AB208" s="122">
        <v>1.5506202480992397E-3</v>
      </c>
      <c r="AC208" s="122">
        <v>1.5506202480992397E-3</v>
      </c>
      <c r="AD208" s="122">
        <v>1.525610244097639E-3</v>
      </c>
      <c r="AE208" s="122">
        <v>1.525610244097639E-3</v>
      </c>
      <c r="AF208" s="122">
        <v>1.525610244097639E-3</v>
      </c>
      <c r="AG208" s="122">
        <v>1.525610244097639E-3</v>
      </c>
      <c r="AH208" s="122">
        <v>3.6264505802320927E-3</v>
      </c>
      <c r="AI208" s="122">
        <v>3.6264505802320927E-3</v>
      </c>
      <c r="AJ208" s="122">
        <v>3.6264505802320927E-3</v>
      </c>
      <c r="AK208" s="122">
        <v>3.6264505802320927E-3</v>
      </c>
      <c r="AL208" s="122">
        <v>1.3005202080832333E-3</v>
      </c>
      <c r="AM208" s="122">
        <v>1.3005202080832333E-3</v>
      </c>
      <c r="AN208" s="122">
        <v>1.3005202080832333E-3</v>
      </c>
      <c r="AO208" s="122">
        <v>1.3005202080832333E-3</v>
      </c>
      <c r="AP208" s="122">
        <v>5.0909090909090911E-2</v>
      </c>
      <c r="AQ208" s="122">
        <v>5.0909090909090911E-2</v>
      </c>
      <c r="AR208" s="122">
        <v>5.0909090909090911E-2</v>
      </c>
      <c r="AS208" s="122">
        <v>2.5454545454545455E-2</v>
      </c>
      <c r="AT208" s="122">
        <v>2.5454545454545455E-2</v>
      </c>
      <c r="AU208" s="122">
        <v>2.5454545454545455E-2</v>
      </c>
      <c r="AV208" s="122">
        <v>2.6666666666666665E-2</v>
      </c>
      <c r="AW208" s="122">
        <v>2.6666666666666665E-2</v>
      </c>
      <c r="AX208" s="122">
        <v>2.6666666666666665E-2</v>
      </c>
      <c r="AY208" s="122">
        <v>3.5897435897435902E-2</v>
      </c>
      <c r="AZ208" s="122">
        <v>3.5897435897435902E-2</v>
      </c>
      <c r="BA208" s="122">
        <v>3.5897435897435902E-2</v>
      </c>
      <c r="BB208" s="122">
        <v>3.111111111111111E-2</v>
      </c>
      <c r="BC208" s="122">
        <v>3.111111111111111E-2</v>
      </c>
      <c r="BD208" s="122">
        <v>3.111111111111111E-2</v>
      </c>
      <c r="BE208" s="122">
        <v>1.0654632223259673E-3</v>
      </c>
      <c r="BF208" s="122">
        <v>1.0654632223259673E-3</v>
      </c>
      <c r="BG208" s="122">
        <v>1.0654632223259673E-3</v>
      </c>
      <c r="BH208" s="122">
        <v>1.0654632223259673E-3</v>
      </c>
      <c r="BI208" s="122">
        <v>1.0654632223259673E-3</v>
      </c>
      <c r="BJ208" s="122">
        <v>1.0654632223259673E-3</v>
      </c>
      <c r="BK208" s="122">
        <v>1.0654632223259673E-3</v>
      </c>
      <c r="BL208" s="122">
        <v>1.0654632223259673E-3</v>
      </c>
      <c r="BM208" s="122">
        <v>1.0654632223259673E-3</v>
      </c>
      <c r="BN208" s="122">
        <v>1.0654632223259673E-3</v>
      </c>
      <c r="BO208" s="122">
        <v>1.0654632223259673E-3</v>
      </c>
      <c r="BP208" s="122">
        <v>1.0654632223259673E-3</v>
      </c>
      <c r="BQ208" s="122">
        <v>1.0654632223259673E-3</v>
      </c>
      <c r="BR208" s="122">
        <v>1.0654632223259673E-3</v>
      </c>
      <c r="BS208" s="122">
        <v>1.0654632223259673E-3</v>
      </c>
      <c r="BT208" s="122">
        <v>1.0654632223259673E-3</v>
      </c>
      <c r="BU208" s="122">
        <v>1.0654632223259673E-3</v>
      </c>
      <c r="BV208" s="122">
        <v>1.0654632223259673E-3</v>
      </c>
      <c r="BW208" s="122">
        <v>1.0654632223259673E-3</v>
      </c>
      <c r="BX208" s="122">
        <v>1.0654632223259673E-3</v>
      </c>
      <c r="BY208" s="122">
        <v>1.6256502601040416E-3</v>
      </c>
      <c r="BZ208" s="122">
        <v>1.6256502601040416E-3</v>
      </c>
      <c r="CA208" s="122">
        <v>1.6256502601040416E-3</v>
      </c>
      <c r="CB208" s="122">
        <v>1.6256502601040416E-3</v>
      </c>
      <c r="CC208" s="122">
        <v>1.5506202480992397E-3</v>
      </c>
      <c r="CD208" s="122">
        <v>1.5506202480992397E-3</v>
      </c>
      <c r="CE208" s="122">
        <v>1.5506202480992397E-3</v>
      </c>
      <c r="CF208" s="122">
        <v>1.5506202480992397E-3</v>
      </c>
      <c r="CG208" s="122">
        <v>1.525610244097639E-3</v>
      </c>
      <c r="CH208" s="122">
        <v>1.525610244097639E-3</v>
      </c>
      <c r="CI208" s="122">
        <v>1.525610244097639E-3</v>
      </c>
      <c r="CJ208" s="122">
        <v>1.525610244097639E-3</v>
      </c>
      <c r="CK208" s="122">
        <v>3.6264505802320927E-3</v>
      </c>
      <c r="CL208" s="122">
        <v>3.6264505802320927E-3</v>
      </c>
      <c r="CM208" s="122">
        <v>3.6264505802320927E-3</v>
      </c>
      <c r="CN208" s="122">
        <v>3.6264505802320927E-3</v>
      </c>
      <c r="CO208" s="122">
        <v>1.3005202080832333E-3</v>
      </c>
      <c r="CP208" s="122">
        <v>1.3005202080832333E-3</v>
      </c>
      <c r="CQ208" s="122">
        <v>1.3005202080832333E-3</v>
      </c>
      <c r="CR208" s="122">
        <v>1.3005202080832333E-3</v>
      </c>
      <c r="CS208" s="122">
        <v>5.0909090909090911E-2</v>
      </c>
      <c r="CT208" s="122">
        <v>5.0909090909090911E-2</v>
      </c>
      <c r="CU208" s="122">
        <v>5.0909090909090911E-2</v>
      </c>
      <c r="CV208" s="122">
        <v>2.5454545454545455E-2</v>
      </c>
      <c r="CW208" s="122">
        <v>2.5454545454545455E-2</v>
      </c>
      <c r="CX208" s="122">
        <v>2.5454545454545455E-2</v>
      </c>
      <c r="CY208" s="122">
        <v>2.6666666666666665E-2</v>
      </c>
      <c r="CZ208" s="122">
        <v>2.6666666666666665E-2</v>
      </c>
      <c r="DA208" s="122">
        <v>2.6666666666666665E-2</v>
      </c>
      <c r="DB208" s="122">
        <v>3.5897435897435902E-2</v>
      </c>
      <c r="DC208" s="122">
        <v>3.5897435897435902E-2</v>
      </c>
      <c r="DD208" s="122">
        <v>3.5897435897435902E-2</v>
      </c>
      <c r="DE208" s="122">
        <v>3.111111111111111E-2</v>
      </c>
      <c r="DF208" s="122">
        <v>3.111111111111111E-2</v>
      </c>
      <c r="DG208" s="122">
        <v>3.111111111111111E-2</v>
      </c>
      <c r="DH208" s="122">
        <v>1.0654632223259673E-3</v>
      </c>
      <c r="DI208" s="122">
        <v>1.0654632223259673E-3</v>
      </c>
      <c r="DJ208" s="122">
        <v>1.0654632223259673E-3</v>
      </c>
      <c r="DK208" s="122">
        <v>1.0654632223259673E-3</v>
      </c>
      <c r="DL208" s="122">
        <v>1.0654632223259673E-3</v>
      </c>
      <c r="DM208" s="122">
        <v>1.0654632223259673E-3</v>
      </c>
      <c r="DN208" s="122">
        <v>1.0654632223259673E-3</v>
      </c>
      <c r="DO208" s="122">
        <v>1.0654632223259673E-3</v>
      </c>
      <c r="DP208" s="122">
        <v>1.0654632223259673E-3</v>
      </c>
      <c r="DQ208" s="122">
        <v>1.0654632223259673E-3</v>
      </c>
      <c r="DR208" s="122">
        <v>1.0654632223259673E-3</v>
      </c>
      <c r="DS208" s="122">
        <v>1.0654632223259673E-3</v>
      </c>
      <c r="DT208" s="122">
        <v>1.0654632223259673E-3</v>
      </c>
      <c r="DU208" s="122">
        <v>1.0654632223259673E-3</v>
      </c>
      <c r="DV208" s="122">
        <v>1.0654632223259673E-3</v>
      </c>
      <c r="DW208" s="122">
        <v>1.0654632223259673E-3</v>
      </c>
      <c r="DX208" s="122">
        <v>1.0654632223259673E-3</v>
      </c>
      <c r="DY208" s="122">
        <v>1.0654632223259673E-3</v>
      </c>
      <c r="DZ208" s="122">
        <v>1.0654632223259673E-3</v>
      </c>
      <c r="EA208" s="122">
        <v>1.0654632223259673E-3</v>
      </c>
      <c r="EB208" s="122">
        <v>1.6256502601040416E-3</v>
      </c>
      <c r="EC208" s="122">
        <v>1.6256502601040416E-3</v>
      </c>
      <c r="ED208" s="122">
        <v>1.6256502601040416E-3</v>
      </c>
      <c r="EE208" s="122">
        <v>1.6256502601040416E-3</v>
      </c>
      <c r="EF208" s="122">
        <v>1.5506202480992397E-3</v>
      </c>
      <c r="EG208" s="122">
        <v>1.5506202480992397E-3</v>
      </c>
      <c r="EH208" s="122">
        <v>1.5506202480992397E-3</v>
      </c>
      <c r="EI208" s="122">
        <v>1.5506202480992397E-3</v>
      </c>
      <c r="EJ208" s="122">
        <v>1.525610244097639E-3</v>
      </c>
      <c r="EK208" s="122">
        <v>1.525610244097639E-3</v>
      </c>
      <c r="EL208" s="122">
        <v>1.525610244097639E-3</v>
      </c>
      <c r="EM208" s="122">
        <v>1.525610244097639E-3</v>
      </c>
      <c r="EN208" s="122">
        <v>3.6264505802320927E-3</v>
      </c>
      <c r="EO208" s="122">
        <v>3.6264505802320927E-3</v>
      </c>
      <c r="EP208" s="122">
        <v>3.6264505802320927E-3</v>
      </c>
      <c r="EQ208" s="122">
        <v>3.6264505802320927E-3</v>
      </c>
      <c r="ER208" s="122">
        <v>1.3005202080832333E-3</v>
      </c>
      <c r="ES208" s="122">
        <v>1.3005202080832333E-3</v>
      </c>
      <c r="ET208" s="122">
        <v>1.3005202080832333E-3</v>
      </c>
      <c r="EU208" s="122">
        <v>1.3005202080832333E-3</v>
      </c>
      <c r="EV208" s="122">
        <v>5.0909090909090911E-2</v>
      </c>
      <c r="EW208" s="122">
        <v>5.0909090909090911E-2</v>
      </c>
      <c r="EX208" s="122">
        <v>5.0909090909090911E-2</v>
      </c>
      <c r="EY208" s="122">
        <v>2.5454545454545455E-2</v>
      </c>
      <c r="EZ208" s="122">
        <v>2.5454545454545455E-2</v>
      </c>
      <c r="FA208" s="122">
        <v>2.5454545454545455E-2</v>
      </c>
      <c r="FB208" s="122">
        <v>2.6666666666666665E-2</v>
      </c>
      <c r="FC208" s="122">
        <v>2.6666666666666665E-2</v>
      </c>
      <c r="FD208" s="122">
        <v>2.6666666666666665E-2</v>
      </c>
      <c r="FE208" s="122">
        <v>3.5897435897435902E-2</v>
      </c>
      <c r="FF208" s="122">
        <v>3.5897435897435902E-2</v>
      </c>
      <c r="FG208" s="122">
        <v>3.5897435897435902E-2</v>
      </c>
      <c r="FH208" s="122">
        <v>3.111111111111111E-2</v>
      </c>
      <c r="FI208" s="122">
        <v>3.111111111111111E-2</v>
      </c>
      <c r="FJ208" s="122">
        <v>3.111111111111111E-2</v>
      </c>
    </row>
    <row r="209" spans="1:166" x14ac:dyDescent="0.35">
      <c r="A209" s="122" t="s">
        <v>52</v>
      </c>
      <c r="B209" s="122">
        <v>4.305425874053325E-4</v>
      </c>
      <c r="C209" s="122">
        <v>4.305425874053325E-4</v>
      </c>
      <c r="D209" s="122">
        <v>2.9878618113912231E-4</v>
      </c>
      <c r="E209" s="122">
        <v>2.9878618113912231E-4</v>
      </c>
      <c r="F209" s="122">
        <v>4.305425874053325E-4</v>
      </c>
      <c r="G209" s="122">
        <v>4.305425874053325E-4</v>
      </c>
      <c r="H209" s="122">
        <v>4.305425874053325E-4</v>
      </c>
      <c r="I209" s="122">
        <v>2.9878618113912231E-4</v>
      </c>
      <c r="J209" s="122">
        <v>2.9878618113912231E-4</v>
      </c>
      <c r="K209" s="122">
        <v>4.305425874053325E-4</v>
      </c>
      <c r="L209" s="122">
        <v>4.305425874053325E-4</v>
      </c>
      <c r="M209" s="122">
        <v>4.305425874053325E-4</v>
      </c>
      <c r="N209" s="122">
        <v>2.9878618113912231E-4</v>
      </c>
      <c r="O209" s="122">
        <v>2.9878618113912231E-4</v>
      </c>
      <c r="P209" s="122">
        <v>4.305425874053325E-4</v>
      </c>
      <c r="Q209" s="122">
        <v>4.305425874053325E-4</v>
      </c>
      <c r="R209" s="122">
        <v>4.305425874053325E-4</v>
      </c>
      <c r="S209" s="122">
        <v>2.9878618113912231E-4</v>
      </c>
      <c r="T209" s="122">
        <v>2.9878618113912231E-4</v>
      </c>
      <c r="U209" s="122">
        <v>4.305425874053325E-4</v>
      </c>
      <c r="V209" s="122">
        <v>2.6260504201680674E-3</v>
      </c>
      <c r="W209" s="122">
        <v>1.6256502601040416E-3</v>
      </c>
      <c r="X209" s="122">
        <v>3.235203975384487E-3</v>
      </c>
      <c r="Y209" s="122">
        <v>3.4736649752972778E-3</v>
      </c>
      <c r="Z209" s="122">
        <v>2.6260504201680674E-3</v>
      </c>
      <c r="AA209" s="122">
        <v>1.6256502601040416E-3</v>
      </c>
      <c r="AB209" s="122">
        <v>3.235203975384487E-3</v>
      </c>
      <c r="AC209" s="122">
        <v>3.4736649752972778E-3</v>
      </c>
      <c r="AD209" s="122">
        <v>2.6260504201680674E-3</v>
      </c>
      <c r="AE209" s="122">
        <v>1.6256502601040416E-3</v>
      </c>
      <c r="AF209" s="122">
        <v>3.235203975384487E-3</v>
      </c>
      <c r="AG209" s="122">
        <v>3.4736649752972778E-3</v>
      </c>
      <c r="AH209" s="122">
        <v>2.6260504201680674E-3</v>
      </c>
      <c r="AI209" s="122">
        <v>1.6256502601040416E-3</v>
      </c>
      <c r="AJ209" s="122">
        <v>3.235203975384487E-3</v>
      </c>
      <c r="AK209" s="122">
        <v>3.4736649752972778E-3</v>
      </c>
      <c r="AL209" s="122">
        <v>2.1008403361344541E-3</v>
      </c>
      <c r="AM209" s="122">
        <v>1.3005202080832333E-3</v>
      </c>
      <c r="AN209" s="122">
        <v>2.5881631803075897E-3</v>
      </c>
      <c r="AO209" s="122">
        <v>2.7789319802378224E-3</v>
      </c>
      <c r="AP209" s="122">
        <v>1.4545454545454545E-2</v>
      </c>
      <c r="AQ209" s="122">
        <v>1.0909090909090908E-2</v>
      </c>
      <c r="AR209" s="122">
        <v>1.868668998758358E-2</v>
      </c>
      <c r="AS209" s="122">
        <v>7.2727272727272727E-3</v>
      </c>
      <c r="AT209" s="122">
        <v>5.4545454545454541E-3</v>
      </c>
      <c r="AU209" s="122">
        <v>9.3433449937917901E-3</v>
      </c>
      <c r="AV209" s="122">
        <v>7.619047619047619E-3</v>
      </c>
      <c r="AW209" s="122">
        <v>5.7142857142857143E-3</v>
      </c>
      <c r="AX209" s="122">
        <v>9.7882661839723516E-3</v>
      </c>
      <c r="AY209" s="122">
        <v>1.0256410256410255E-2</v>
      </c>
      <c r="AZ209" s="122">
        <v>7.6923076923076927E-3</v>
      </c>
      <c r="BA209" s="122">
        <v>1.3176512170732011E-2</v>
      </c>
      <c r="BB209" s="122">
        <v>8.8888888888888889E-3</v>
      </c>
      <c r="BC209" s="122">
        <v>6.6666666666666662E-3</v>
      </c>
      <c r="BD209" s="122">
        <v>1.1419643881301077E-2</v>
      </c>
      <c r="BE209" s="122">
        <v>4.305425874053325E-4</v>
      </c>
      <c r="BF209" s="122">
        <v>4.305425874053325E-4</v>
      </c>
      <c r="BG209" s="122">
        <v>2.9878618113912231E-4</v>
      </c>
      <c r="BH209" s="122">
        <v>2.9878618113912231E-4</v>
      </c>
      <c r="BI209" s="122">
        <v>4.305425874053325E-4</v>
      </c>
      <c r="BJ209" s="122">
        <v>4.305425874053325E-4</v>
      </c>
      <c r="BK209" s="122">
        <v>4.305425874053325E-4</v>
      </c>
      <c r="BL209" s="122">
        <v>2.9878618113912231E-4</v>
      </c>
      <c r="BM209" s="122">
        <v>2.9878618113912231E-4</v>
      </c>
      <c r="BN209" s="122">
        <v>4.305425874053325E-4</v>
      </c>
      <c r="BO209" s="122">
        <v>4.305425874053325E-4</v>
      </c>
      <c r="BP209" s="122">
        <v>4.305425874053325E-4</v>
      </c>
      <c r="BQ209" s="122">
        <v>2.9878618113912231E-4</v>
      </c>
      <c r="BR209" s="122">
        <v>2.9878618113912231E-4</v>
      </c>
      <c r="BS209" s="122">
        <v>4.305425874053325E-4</v>
      </c>
      <c r="BT209" s="122">
        <v>4.305425874053325E-4</v>
      </c>
      <c r="BU209" s="122">
        <v>4.305425874053325E-4</v>
      </c>
      <c r="BV209" s="122">
        <v>2.9878618113912231E-4</v>
      </c>
      <c r="BW209" s="122">
        <v>2.9878618113912231E-4</v>
      </c>
      <c r="BX209" s="122">
        <v>4.305425874053325E-4</v>
      </c>
      <c r="BY209" s="122">
        <v>2.6260504201680674E-3</v>
      </c>
      <c r="BZ209" s="122">
        <v>1.6256502601040416E-3</v>
      </c>
      <c r="CA209" s="122">
        <v>2.7152291126929309E-3</v>
      </c>
      <c r="CB209" s="122">
        <v>2.5777082888133671E-3</v>
      </c>
      <c r="CC209" s="122">
        <v>2.6260504201680674E-3</v>
      </c>
      <c r="CD209" s="122">
        <v>1.6256502601040416E-3</v>
      </c>
      <c r="CE209" s="122">
        <v>2.7152291126929309E-3</v>
      </c>
      <c r="CF209" s="122">
        <v>2.5777082888133671E-3</v>
      </c>
      <c r="CG209" s="122">
        <v>2.6260504201680674E-3</v>
      </c>
      <c r="CH209" s="122">
        <v>1.6256502601040416E-3</v>
      </c>
      <c r="CI209" s="122">
        <v>2.7152291126929309E-3</v>
      </c>
      <c r="CJ209" s="122">
        <v>2.5777082888133671E-3</v>
      </c>
      <c r="CK209" s="122">
        <v>2.6260504201680674E-3</v>
      </c>
      <c r="CL209" s="122">
        <v>1.6256502601040416E-3</v>
      </c>
      <c r="CM209" s="122">
        <v>2.7152291126929309E-3</v>
      </c>
      <c r="CN209" s="122">
        <v>2.5777082888133671E-3</v>
      </c>
      <c r="CO209" s="122">
        <v>2.1008403361344541E-3</v>
      </c>
      <c r="CP209" s="122">
        <v>1.3005202080832333E-3</v>
      </c>
      <c r="CQ209" s="122">
        <v>2.1721832901543448E-3</v>
      </c>
      <c r="CR209" s="122">
        <v>2.0621666310506933E-3</v>
      </c>
      <c r="CS209" s="122">
        <v>1.4545454545454545E-2</v>
      </c>
      <c r="CT209" s="122">
        <v>1.0909090909090908E-2</v>
      </c>
      <c r="CU209" s="122">
        <v>1.474292064798436E-2</v>
      </c>
      <c r="CV209" s="122">
        <v>7.2727272727272727E-3</v>
      </c>
      <c r="CW209" s="122">
        <v>5.4545454545454541E-3</v>
      </c>
      <c r="CX209" s="122">
        <v>7.3714603239921801E-3</v>
      </c>
      <c r="CY209" s="122">
        <v>7.619047619047619E-3</v>
      </c>
      <c r="CZ209" s="122">
        <v>5.7142857142857143E-3</v>
      </c>
      <c r="DA209" s="122">
        <v>7.7224822441822839E-3</v>
      </c>
      <c r="DB209" s="122">
        <v>1.0256410256410255E-2</v>
      </c>
      <c r="DC209" s="122">
        <v>7.6923076923076927E-3</v>
      </c>
      <c r="DD209" s="122">
        <v>1.0395649174860766E-2</v>
      </c>
      <c r="DE209" s="122">
        <v>8.8888888888888889E-3</v>
      </c>
      <c r="DF209" s="122">
        <v>6.6666666666666662E-3</v>
      </c>
      <c r="DG209" s="122">
        <v>9.0095626182126638E-3</v>
      </c>
      <c r="DH209" s="122">
        <v>4.305425874053325E-4</v>
      </c>
      <c r="DI209" s="122">
        <v>4.305425874053325E-4</v>
      </c>
      <c r="DJ209" s="122">
        <v>2.9878618113912231E-4</v>
      </c>
      <c r="DK209" s="122">
        <v>2.9878618113912231E-4</v>
      </c>
      <c r="DL209" s="122">
        <v>4.305425874053325E-4</v>
      </c>
      <c r="DM209" s="122">
        <v>4.305425874053325E-4</v>
      </c>
      <c r="DN209" s="122">
        <v>4.305425874053325E-4</v>
      </c>
      <c r="DO209" s="122">
        <v>2.9878618113912231E-4</v>
      </c>
      <c r="DP209" s="122">
        <v>2.9878618113912231E-4</v>
      </c>
      <c r="DQ209" s="122">
        <v>4.305425874053325E-4</v>
      </c>
      <c r="DR209" s="122">
        <v>4.305425874053325E-4</v>
      </c>
      <c r="DS209" s="122">
        <v>4.305425874053325E-4</v>
      </c>
      <c r="DT209" s="122">
        <v>2.9878618113912231E-4</v>
      </c>
      <c r="DU209" s="122">
        <v>2.9878618113912231E-4</v>
      </c>
      <c r="DV209" s="122">
        <v>4.305425874053325E-4</v>
      </c>
      <c r="DW209" s="122">
        <v>4.305425874053325E-4</v>
      </c>
      <c r="DX209" s="122">
        <v>4.305425874053325E-4</v>
      </c>
      <c r="DY209" s="122">
        <v>2.9878618113912231E-4</v>
      </c>
      <c r="DZ209" s="122">
        <v>2.9878618113912231E-4</v>
      </c>
      <c r="EA209" s="122">
        <v>4.305425874053325E-4</v>
      </c>
      <c r="EB209" s="122">
        <v>2.6260504201680674E-3</v>
      </c>
      <c r="EC209" s="122">
        <v>1.6256502601040416E-3</v>
      </c>
      <c r="ED209" s="122">
        <v>2.0347764046985059E-3</v>
      </c>
      <c r="EE209" s="122">
        <v>1.4052359304229719E-3</v>
      </c>
      <c r="EF209" s="122">
        <v>2.6260504201680674E-3</v>
      </c>
      <c r="EG209" s="122">
        <v>1.6256502601040416E-3</v>
      </c>
      <c r="EH209" s="122">
        <v>2.0347764046985059E-3</v>
      </c>
      <c r="EI209" s="122">
        <v>1.4052359304229719E-3</v>
      </c>
      <c r="EJ209" s="122">
        <v>2.6260504201680674E-3</v>
      </c>
      <c r="EK209" s="122">
        <v>1.6256502601040416E-3</v>
      </c>
      <c r="EL209" s="122">
        <v>2.0347764046985059E-3</v>
      </c>
      <c r="EM209" s="122">
        <v>1.4052359304229719E-3</v>
      </c>
      <c r="EN209" s="122">
        <v>2.6260504201680674E-3</v>
      </c>
      <c r="EO209" s="122">
        <v>1.6256502601040416E-3</v>
      </c>
      <c r="EP209" s="122">
        <v>2.0347764046985059E-3</v>
      </c>
      <c r="EQ209" s="122">
        <v>1.4052359304229719E-3</v>
      </c>
      <c r="ER209" s="122">
        <v>2.1008403361344541E-3</v>
      </c>
      <c r="ES209" s="122">
        <v>1.3005202080832333E-3</v>
      </c>
      <c r="ET209" s="122">
        <v>1.6278211237588046E-3</v>
      </c>
      <c r="EU209" s="122">
        <v>1.1241887443383775E-3</v>
      </c>
      <c r="EV209" s="122">
        <v>1.4545454545454545E-2</v>
      </c>
      <c r="EW209" s="122">
        <v>1.0909090909090908E-2</v>
      </c>
      <c r="EX209" s="122">
        <v>1.3094815714923418E-2</v>
      </c>
      <c r="EY209" s="122">
        <v>7.2727272727272727E-3</v>
      </c>
      <c r="EZ209" s="122">
        <v>5.4545454545454541E-3</v>
      </c>
      <c r="FA209" s="122">
        <v>6.5474078574617092E-3</v>
      </c>
      <c r="FB209" s="122">
        <v>7.619047619047619E-3</v>
      </c>
      <c r="FC209" s="122">
        <v>5.7142857142857143E-3</v>
      </c>
      <c r="FD209" s="122">
        <v>6.8591891840075045E-3</v>
      </c>
      <c r="FE209" s="122">
        <v>1.0256410256410255E-2</v>
      </c>
      <c r="FF209" s="122">
        <v>7.6923076923076927E-3</v>
      </c>
      <c r="FG209" s="122">
        <v>9.2335239015485654E-3</v>
      </c>
      <c r="FH209" s="122">
        <v>8.8888888888888889E-3</v>
      </c>
      <c r="FI209" s="122">
        <v>6.6666666666666662E-3</v>
      </c>
      <c r="FJ209" s="122">
        <v>8.0023873813420895E-3</v>
      </c>
    </row>
    <row r="210" spans="1:166" x14ac:dyDescent="0.35">
      <c r="A210" s="122" t="s">
        <v>260</v>
      </c>
      <c r="B210" s="122">
        <v>8.9502842587904882E-5</v>
      </c>
      <c r="C210" s="122">
        <v>8.9502842587904882E-5</v>
      </c>
      <c r="D210" s="122">
        <v>8.9502842587904882E-5</v>
      </c>
      <c r="E210" s="122">
        <v>8.9502842587904882E-5</v>
      </c>
      <c r="F210" s="122">
        <v>8.9502842587904882E-5</v>
      </c>
      <c r="G210" s="122">
        <v>1.7869725535414797E-4</v>
      </c>
      <c r="H210" s="122">
        <v>1.7869725535414797E-4</v>
      </c>
      <c r="I210" s="122">
        <v>1.7869725535414797E-4</v>
      </c>
      <c r="J210" s="122">
        <v>1.7869725535414797E-4</v>
      </c>
      <c r="K210" s="122">
        <v>1.7869725535414797E-4</v>
      </c>
      <c r="L210" s="122">
        <v>8.6011184229469056E-5</v>
      </c>
      <c r="M210" s="122">
        <v>8.6011184229469056E-5</v>
      </c>
      <c r="N210" s="122">
        <v>8.6011184229469056E-5</v>
      </c>
      <c r="O210" s="122">
        <v>8.6011184229469056E-5</v>
      </c>
      <c r="P210" s="122">
        <v>8.6011184229469056E-5</v>
      </c>
      <c r="Q210" s="122">
        <v>8.6011184229469056E-5</v>
      </c>
      <c r="R210" s="122">
        <v>8.6011184229469056E-5</v>
      </c>
      <c r="S210" s="122">
        <v>8.6011184229469056E-5</v>
      </c>
      <c r="T210" s="122">
        <v>8.6011184229469056E-5</v>
      </c>
      <c r="U210" s="122">
        <v>8.6011184229469056E-5</v>
      </c>
      <c r="V210" s="122">
        <v>1.7507002801120447E-3</v>
      </c>
      <c r="W210" s="122">
        <v>1.7507002801120447E-3</v>
      </c>
      <c r="X210" s="122">
        <v>1.7507002801120447E-3</v>
      </c>
      <c r="Y210" s="122">
        <v>1.7507002801120447E-3</v>
      </c>
      <c r="Z210" s="122">
        <v>1.6256502601040416E-3</v>
      </c>
      <c r="AA210" s="122">
        <v>1.6256502601040416E-3</v>
      </c>
      <c r="AB210" s="122">
        <v>1.6256502601040416E-3</v>
      </c>
      <c r="AC210" s="122">
        <v>1.6256502601040416E-3</v>
      </c>
      <c r="AD210" s="122">
        <v>1.6256502601040416E-3</v>
      </c>
      <c r="AE210" s="122">
        <v>1.6256502601040416E-3</v>
      </c>
      <c r="AF210" s="122">
        <v>1.6256502601040416E-3</v>
      </c>
      <c r="AG210" s="122">
        <v>1.6256502601040416E-3</v>
      </c>
      <c r="AH210" s="122">
        <v>4.0016006402561026E-3</v>
      </c>
      <c r="AI210" s="122">
        <v>4.0016006402561026E-3</v>
      </c>
      <c r="AJ210" s="122">
        <v>4.0016006402561026E-3</v>
      </c>
      <c r="AK210" s="122">
        <v>4.0016006402561026E-3</v>
      </c>
      <c r="AL210" s="122">
        <v>1.4005602240896359E-3</v>
      </c>
      <c r="AM210" s="122">
        <v>1.4005602240896359E-3</v>
      </c>
      <c r="AN210" s="122">
        <v>1.4005602240896359E-3</v>
      </c>
      <c r="AO210" s="122">
        <v>1.4005602240896359E-3</v>
      </c>
      <c r="AP210" s="122">
        <v>4.4000000000000003E-3</v>
      </c>
      <c r="AQ210" s="122">
        <v>4.4000000000000003E-3</v>
      </c>
      <c r="AR210" s="122">
        <v>4.4000000000000003E-3</v>
      </c>
      <c r="AS210" s="122">
        <v>4.4000000000000003E-3</v>
      </c>
      <c r="AT210" s="122">
        <v>4.4000000000000003E-3</v>
      </c>
      <c r="AU210" s="122">
        <v>4.4000000000000003E-3</v>
      </c>
      <c r="AV210" s="122">
        <v>4.4000000000000003E-3</v>
      </c>
      <c r="AW210" s="122">
        <v>4.4000000000000003E-3</v>
      </c>
      <c r="AX210" s="122">
        <v>4.4000000000000003E-3</v>
      </c>
      <c r="AY210" s="122">
        <v>4.4000000000000003E-3</v>
      </c>
      <c r="AZ210" s="122">
        <v>4.4000000000000003E-3</v>
      </c>
      <c r="BA210" s="122">
        <v>4.4000000000000003E-3</v>
      </c>
      <c r="BB210" s="122">
        <v>4.4000000000000003E-3</v>
      </c>
      <c r="BC210" s="122">
        <v>4.4000000000000003E-3</v>
      </c>
      <c r="BD210" s="122">
        <v>4.4000000000000003E-3</v>
      </c>
      <c r="BE210" s="122">
        <v>8.9502842587904882E-5</v>
      </c>
      <c r="BF210" s="122">
        <v>8.9502842587904882E-5</v>
      </c>
      <c r="BG210" s="122">
        <v>8.9502842587904882E-5</v>
      </c>
      <c r="BH210" s="122">
        <v>8.9502842587904882E-5</v>
      </c>
      <c r="BI210" s="122">
        <v>8.9502842587904882E-5</v>
      </c>
      <c r="BJ210" s="122">
        <v>1.7869725535414797E-4</v>
      </c>
      <c r="BK210" s="122">
        <v>1.7869725535414797E-4</v>
      </c>
      <c r="BL210" s="122">
        <v>1.7869725535414797E-4</v>
      </c>
      <c r="BM210" s="122">
        <v>1.7869725535414797E-4</v>
      </c>
      <c r="BN210" s="122">
        <v>1.7869725535414797E-4</v>
      </c>
      <c r="BO210" s="122">
        <v>8.6011184229469056E-5</v>
      </c>
      <c r="BP210" s="122">
        <v>8.6011184229469056E-5</v>
      </c>
      <c r="BQ210" s="122">
        <v>8.6011184229469056E-5</v>
      </c>
      <c r="BR210" s="122">
        <v>8.6011184229469056E-5</v>
      </c>
      <c r="BS210" s="122">
        <v>8.6011184229469056E-5</v>
      </c>
      <c r="BT210" s="122">
        <v>8.6011184229469056E-5</v>
      </c>
      <c r="BU210" s="122">
        <v>8.6011184229469056E-5</v>
      </c>
      <c r="BV210" s="122">
        <v>8.6011184229469056E-5</v>
      </c>
      <c r="BW210" s="122">
        <v>8.6011184229469056E-5</v>
      </c>
      <c r="BX210" s="122">
        <v>8.6011184229469056E-5</v>
      </c>
      <c r="BY210" s="122">
        <v>1.7507002801120447E-3</v>
      </c>
      <c r="BZ210" s="122">
        <v>1.7507002801120447E-3</v>
      </c>
      <c r="CA210" s="122">
        <v>1.7507002801120447E-3</v>
      </c>
      <c r="CB210" s="122">
        <v>1.7507002801120447E-3</v>
      </c>
      <c r="CC210" s="122">
        <v>1.6256502601040416E-3</v>
      </c>
      <c r="CD210" s="122">
        <v>1.6256502601040416E-3</v>
      </c>
      <c r="CE210" s="122">
        <v>1.6256502601040416E-3</v>
      </c>
      <c r="CF210" s="122">
        <v>1.6256502601040416E-3</v>
      </c>
      <c r="CG210" s="122">
        <v>1.6256502601040416E-3</v>
      </c>
      <c r="CH210" s="122">
        <v>1.6256502601040416E-3</v>
      </c>
      <c r="CI210" s="122">
        <v>1.6256502601040416E-3</v>
      </c>
      <c r="CJ210" s="122">
        <v>1.6256502601040416E-3</v>
      </c>
      <c r="CK210" s="122">
        <v>4.0016006402561026E-3</v>
      </c>
      <c r="CL210" s="122">
        <v>4.0016006402561026E-3</v>
      </c>
      <c r="CM210" s="122">
        <v>4.0016006402561026E-3</v>
      </c>
      <c r="CN210" s="122">
        <v>4.0016006402561026E-3</v>
      </c>
      <c r="CO210" s="122">
        <v>1.4005602240896359E-3</v>
      </c>
      <c r="CP210" s="122">
        <v>1.4005602240896359E-3</v>
      </c>
      <c r="CQ210" s="122">
        <v>1.4005602240896359E-3</v>
      </c>
      <c r="CR210" s="122">
        <v>1.4005602240896359E-3</v>
      </c>
      <c r="CS210" s="122">
        <v>4.4000000000000003E-3</v>
      </c>
      <c r="CT210" s="122">
        <v>4.4000000000000003E-3</v>
      </c>
      <c r="CU210" s="122">
        <v>4.4000000000000003E-3</v>
      </c>
      <c r="CV210" s="122">
        <v>4.4000000000000003E-3</v>
      </c>
      <c r="CW210" s="122">
        <v>4.4000000000000003E-3</v>
      </c>
      <c r="CX210" s="122">
        <v>4.4000000000000003E-3</v>
      </c>
      <c r="CY210" s="122">
        <v>4.4000000000000003E-3</v>
      </c>
      <c r="CZ210" s="122">
        <v>4.4000000000000003E-3</v>
      </c>
      <c r="DA210" s="122">
        <v>4.4000000000000003E-3</v>
      </c>
      <c r="DB210" s="122">
        <v>4.4000000000000003E-3</v>
      </c>
      <c r="DC210" s="122">
        <v>4.4000000000000003E-3</v>
      </c>
      <c r="DD210" s="122">
        <v>4.4000000000000003E-3</v>
      </c>
      <c r="DE210" s="122">
        <v>4.4000000000000003E-3</v>
      </c>
      <c r="DF210" s="122">
        <v>4.4000000000000003E-3</v>
      </c>
      <c r="DG210" s="122">
        <v>4.4000000000000003E-3</v>
      </c>
      <c r="DH210" s="122">
        <v>8.9502842587904882E-5</v>
      </c>
      <c r="DI210" s="122">
        <v>8.9502842587904882E-5</v>
      </c>
      <c r="DJ210" s="122">
        <v>8.9502842587904882E-5</v>
      </c>
      <c r="DK210" s="122">
        <v>8.9502842587904882E-5</v>
      </c>
      <c r="DL210" s="122">
        <v>8.9502842587904882E-5</v>
      </c>
      <c r="DM210" s="122">
        <v>1.7869725535414797E-4</v>
      </c>
      <c r="DN210" s="122">
        <v>1.7869725535414797E-4</v>
      </c>
      <c r="DO210" s="122">
        <v>1.7869725535414797E-4</v>
      </c>
      <c r="DP210" s="122">
        <v>1.7869725535414797E-4</v>
      </c>
      <c r="DQ210" s="122">
        <v>1.7869725535414797E-4</v>
      </c>
      <c r="DR210" s="122">
        <v>8.6011184229469056E-5</v>
      </c>
      <c r="DS210" s="122">
        <v>8.6011184229469056E-5</v>
      </c>
      <c r="DT210" s="122">
        <v>8.6011184229469056E-5</v>
      </c>
      <c r="DU210" s="122">
        <v>8.6011184229469056E-5</v>
      </c>
      <c r="DV210" s="122">
        <v>8.6011184229469056E-5</v>
      </c>
      <c r="DW210" s="122">
        <v>8.6011184229469056E-5</v>
      </c>
      <c r="DX210" s="122">
        <v>8.6011184229469056E-5</v>
      </c>
      <c r="DY210" s="122">
        <v>8.6011184229469056E-5</v>
      </c>
      <c r="DZ210" s="122">
        <v>8.6011184229469056E-5</v>
      </c>
      <c r="EA210" s="122">
        <v>8.6011184229469056E-5</v>
      </c>
      <c r="EB210" s="122">
        <v>1.7507002801120447E-3</v>
      </c>
      <c r="EC210" s="122">
        <v>1.7507002801120447E-3</v>
      </c>
      <c r="ED210" s="122">
        <v>1.7507002801120447E-3</v>
      </c>
      <c r="EE210" s="122">
        <v>1.7507002801120447E-3</v>
      </c>
      <c r="EF210" s="122">
        <v>1.6256502601040416E-3</v>
      </c>
      <c r="EG210" s="122">
        <v>1.6256502601040416E-3</v>
      </c>
      <c r="EH210" s="122">
        <v>1.6256502601040416E-3</v>
      </c>
      <c r="EI210" s="122">
        <v>1.6256502601040416E-3</v>
      </c>
      <c r="EJ210" s="122">
        <v>1.6256502601040416E-3</v>
      </c>
      <c r="EK210" s="122">
        <v>1.6256502601040416E-3</v>
      </c>
      <c r="EL210" s="122">
        <v>1.6256502601040416E-3</v>
      </c>
      <c r="EM210" s="122">
        <v>1.6256502601040416E-3</v>
      </c>
      <c r="EN210" s="122">
        <v>4.0016006402561026E-3</v>
      </c>
      <c r="EO210" s="122">
        <v>4.0016006402561026E-3</v>
      </c>
      <c r="EP210" s="122">
        <v>4.0016006402561026E-3</v>
      </c>
      <c r="EQ210" s="122">
        <v>4.0016006402561026E-3</v>
      </c>
      <c r="ER210" s="122">
        <v>1.4005602240896359E-3</v>
      </c>
      <c r="ES210" s="122">
        <v>1.4005602240896359E-3</v>
      </c>
      <c r="ET210" s="122">
        <v>1.4005602240896359E-3</v>
      </c>
      <c r="EU210" s="122">
        <v>1.4005602240896359E-3</v>
      </c>
      <c r="EV210" s="122">
        <v>4.4000000000000003E-3</v>
      </c>
      <c r="EW210" s="122">
        <v>4.4000000000000003E-3</v>
      </c>
      <c r="EX210" s="122">
        <v>4.4000000000000003E-3</v>
      </c>
      <c r="EY210" s="122">
        <v>4.4000000000000003E-3</v>
      </c>
      <c r="EZ210" s="122">
        <v>4.4000000000000003E-3</v>
      </c>
      <c r="FA210" s="122">
        <v>4.4000000000000003E-3</v>
      </c>
      <c r="FB210" s="122">
        <v>4.4000000000000003E-3</v>
      </c>
      <c r="FC210" s="122">
        <v>4.4000000000000003E-3</v>
      </c>
      <c r="FD210" s="122">
        <v>4.4000000000000003E-3</v>
      </c>
      <c r="FE210" s="122">
        <v>4.4000000000000003E-3</v>
      </c>
      <c r="FF210" s="122">
        <v>4.4000000000000003E-3</v>
      </c>
      <c r="FG210" s="122">
        <v>4.4000000000000003E-3</v>
      </c>
      <c r="FH210" s="122">
        <v>4.4000000000000003E-3</v>
      </c>
      <c r="FI210" s="122">
        <v>4.4000000000000003E-3</v>
      </c>
      <c r="FJ210" s="122">
        <v>4.4000000000000003E-3</v>
      </c>
    </row>
    <row r="211" spans="1:166" x14ac:dyDescent="0.35">
      <c r="A211" s="122" t="s">
        <v>67</v>
      </c>
      <c r="B211" s="122">
        <v>2.0608228308229173E-3</v>
      </c>
      <c r="C211" s="122">
        <v>4.5972662777521807E-3</v>
      </c>
      <c r="D211" s="122">
        <v>1.2272875676237464E-2</v>
      </c>
      <c r="E211" s="122">
        <v>1.1281068013309969E-2</v>
      </c>
      <c r="F211" s="122">
        <v>2.4929435480202329E-2</v>
      </c>
      <c r="G211" s="122">
        <v>2.0608228308229173E-3</v>
      </c>
      <c r="H211" s="122">
        <v>4.5972662777521807E-3</v>
      </c>
      <c r="I211" s="122">
        <v>1.2272875676237464E-2</v>
      </c>
      <c r="J211" s="122">
        <v>1.1281068013309969E-2</v>
      </c>
      <c r="K211" s="122">
        <v>2.4929435480202329E-2</v>
      </c>
      <c r="L211" s="122">
        <v>2.0608228308229173E-3</v>
      </c>
      <c r="M211" s="122">
        <v>4.5972662777521807E-3</v>
      </c>
      <c r="N211" s="122">
        <v>1.2272875676237464E-2</v>
      </c>
      <c r="O211" s="122">
        <v>1.1281068013309969E-2</v>
      </c>
      <c r="P211" s="122">
        <v>2.4929435480202329E-2</v>
      </c>
      <c r="Q211" s="122">
        <v>2.0608228308229173E-3</v>
      </c>
      <c r="R211" s="122">
        <v>4.5972662777521807E-3</v>
      </c>
      <c r="S211" s="122">
        <v>1.2272875676237464E-2</v>
      </c>
      <c r="T211" s="122">
        <v>1.1281068013309969E-2</v>
      </c>
      <c r="U211" s="122">
        <v>2.4929435480202329E-2</v>
      </c>
      <c r="V211" s="122">
        <v>2.3018816718401642E-3</v>
      </c>
      <c r="W211" s="122">
        <v>1.3290239431595586E-3</v>
      </c>
      <c r="X211" s="122">
        <v>1.4120879396070311E-3</v>
      </c>
      <c r="Y211" s="122">
        <v>4.2873120819145651E-3</v>
      </c>
      <c r="Z211" s="122">
        <v>2.3018816718401642E-3</v>
      </c>
      <c r="AA211" s="122">
        <v>1.3290239431595586E-3</v>
      </c>
      <c r="AB211" s="122">
        <v>1.4120879396070311E-3</v>
      </c>
      <c r="AC211" s="122">
        <v>4.2873120819145651E-3</v>
      </c>
      <c r="AD211" s="122">
        <v>2.3018816718401642E-3</v>
      </c>
      <c r="AE211" s="122">
        <v>1.3290239431595586E-3</v>
      </c>
      <c r="AF211" s="122">
        <v>1.4120879396070311E-3</v>
      </c>
      <c r="AG211" s="122">
        <v>4.2873120819145651E-3</v>
      </c>
      <c r="AH211" s="122">
        <v>2.3018816718401642E-3</v>
      </c>
      <c r="AI211" s="122">
        <v>1.3290239431595586E-3</v>
      </c>
      <c r="AJ211" s="122">
        <v>1.4120879396070311E-3</v>
      </c>
      <c r="AK211" s="122">
        <v>4.2873120819145651E-3</v>
      </c>
      <c r="AL211" s="122">
        <v>1.8415053374721312E-3</v>
      </c>
      <c r="AM211" s="122">
        <v>1.063219154527647E-3</v>
      </c>
      <c r="AN211" s="122">
        <v>1.1296703516856248E-3</v>
      </c>
      <c r="AO211" s="122">
        <v>3.4298496655316519E-3</v>
      </c>
      <c r="AP211" s="122">
        <v>7.7725726298020926E-3</v>
      </c>
      <c r="AQ211" s="122">
        <v>5.6498629919985045E-3</v>
      </c>
      <c r="AR211" s="122">
        <v>1.9709416352132133E-2</v>
      </c>
      <c r="AS211" s="122">
        <v>7.7725726298020926E-3</v>
      </c>
      <c r="AT211" s="122">
        <v>5.6498629919985045E-3</v>
      </c>
      <c r="AU211" s="122">
        <v>1.9709416352132133E-2</v>
      </c>
      <c r="AV211" s="122">
        <v>7.7725726298020935E-3</v>
      </c>
      <c r="AW211" s="122">
        <v>5.6498629919985045E-3</v>
      </c>
      <c r="AX211" s="122">
        <v>1.9709416352132133E-2</v>
      </c>
      <c r="AY211" s="122">
        <v>7.7725726298020935E-3</v>
      </c>
      <c r="AZ211" s="122">
        <v>5.6498629919985045E-3</v>
      </c>
      <c r="BA211" s="122">
        <v>1.9709416352132133E-2</v>
      </c>
      <c r="BB211" s="122">
        <v>7.7725726298020935E-3</v>
      </c>
      <c r="BC211" s="122">
        <v>5.6498629919985045E-3</v>
      </c>
      <c r="BD211" s="122">
        <v>1.9709416352132133E-2</v>
      </c>
      <c r="BE211" s="122">
        <v>1.838708050759685E-3</v>
      </c>
      <c r="BF211" s="122">
        <v>4.1017744902474345E-3</v>
      </c>
      <c r="BG211" s="122">
        <v>1.0358284649412651E-2</v>
      </c>
      <c r="BH211" s="122">
        <v>1.0257993776547255E-2</v>
      </c>
      <c r="BI211" s="122">
        <v>1.6567975451505536E-2</v>
      </c>
      <c r="BJ211" s="122">
        <v>1.838708050759685E-3</v>
      </c>
      <c r="BK211" s="122">
        <v>4.1017744902474345E-3</v>
      </c>
      <c r="BL211" s="122">
        <v>1.0358284649412651E-2</v>
      </c>
      <c r="BM211" s="122">
        <v>1.0257993776547255E-2</v>
      </c>
      <c r="BN211" s="122">
        <v>1.6567975451505536E-2</v>
      </c>
      <c r="BO211" s="122">
        <v>1.838708050759685E-3</v>
      </c>
      <c r="BP211" s="122">
        <v>4.1017744902474345E-3</v>
      </c>
      <c r="BQ211" s="122">
        <v>1.0358284649412651E-2</v>
      </c>
      <c r="BR211" s="122">
        <v>1.0257993776547255E-2</v>
      </c>
      <c r="BS211" s="122">
        <v>1.6567975451505536E-2</v>
      </c>
      <c r="BT211" s="122">
        <v>1.838708050759685E-3</v>
      </c>
      <c r="BU211" s="122">
        <v>4.1017744902474345E-3</v>
      </c>
      <c r="BV211" s="122">
        <v>1.0358284649412651E-2</v>
      </c>
      <c r="BW211" s="122">
        <v>1.0257993776547255E-2</v>
      </c>
      <c r="BX211" s="122">
        <v>1.6567975451505536E-2</v>
      </c>
      <c r="BY211" s="122">
        <v>2.0694919175098612E-3</v>
      </c>
      <c r="BZ211" s="122">
        <v>1.4325231484959115E-3</v>
      </c>
      <c r="CA211" s="122">
        <v>1.522055845276906E-3</v>
      </c>
      <c r="CB211" s="122">
        <v>3.4230929504727972E-3</v>
      </c>
      <c r="CC211" s="122">
        <v>2.0694919175098612E-3</v>
      </c>
      <c r="CD211" s="122">
        <v>1.4325231484959115E-3</v>
      </c>
      <c r="CE211" s="122">
        <v>1.522055845276906E-3</v>
      </c>
      <c r="CF211" s="122">
        <v>3.4230929504727972E-3</v>
      </c>
      <c r="CG211" s="122">
        <v>2.0694919175098612E-3</v>
      </c>
      <c r="CH211" s="122">
        <v>1.4325231484959115E-3</v>
      </c>
      <c r="CI211" s="122">
        <v>1.522055845276906E-3</v>
      </c>
      <c r="CJ211" s="122">
        <v>3.4230929504727972E-3</v>
      </c>
      <c r="CK211" s="122">
        <v>2.0694919175098612E-3</v>
      </c>
      <c r="CL211" s="122">
        <v>1.4325231484959115E-3</v>
      </c>
      <c r="CM211" s="122">
        <v>1.522055845276906E-3</v>
      </c>
      <c r="CN211" s="122">
        <v>3.4230929504727972E-3</v>
      </c>
      <c r="CO211" s="122">
        <v>1.655593534007889E-3</v>
      </c>
      <c r="CP211" s="122">
        <v>1.1460185187967293E-3</v>
      </c>
      <c r="CQ211" s="122">
        <v>1.2176446762215247E-3</v>
      </c>
      <c r="CR211" s="122">
        <v>2.7384743603782375E-3</v>
      </c>
      <c r="CS211" s="122">
        <v>6.47288861884585E-3</v>
      </c>
      <c r="CT211" s="122">
        <v>5.5719568088488311E-3</v>
      </c>
      <c r="CU211" s="122">
        <v>1.3466646239242928E-2</v>
      </c>
      <c r="CV211" s="122">
        <v>6.47288861884585E-3</v>
      </c>
      <c r="CW211" s="122">
        <v>4.985922725015586E-3</v>
      </c>
      <c r="CX211" s="122">
        <v>1.3466646239242928E-2</v>
      </c>
      <c r="CY211" s="122">
        <v>6.47288861884585E-3</v>
      </c>
      <c r="CZ211" s="122">
        <v>4.985922725015586E-3</v>
      </c>
      <c r="DA211" s="122">
        <v>1.3466646239242928E-2</v>
      </c>
      <c r="DB211" s="122">
        <v>6.47288861884585E-3</v>
      </c>
      <c r="DC211" s="122">
        <v>4.9859227250155852E-3</v>
      </c>
      <c r="DD211" s="122">
        <v>1.3466646239242928E-2</v>
      </c>
      <c r="DE211" s="122">
        <v>6.47288861884585E-3</v>
      </c>
      <c r="DF211" s="122">
        <v>4.985922725015586E-3</v>
      </c>
      <c r="DG211" s="122">
        <v>1.3466646239242928E-2</v>
      </c>
      <c r="DH211" s="122">
        <v>1.6880924837231871E-3</v>
      </c>
      <c r="DI211" s="122">
        <v>3.7657825471821881E-3</v>
      </c>
      <c r="DJ211" s="122">
        <v>6.5156977611726787E-3</v>
      </c>
      <c r="DK211" s="122">
        <v>6.8423242323661987E-3</v>
      </c>
      <c r="DL211" s="122">
        <v>9.7494494830798577E-3</v>
      </c>
      <c r="DM211" s="122">
        <v>1.6880924837231871E-3</v>
      </c>
      <c r="DN211" s="122">
        <v>3.7657825471821881E-3</v>
      </c>
      <c r="DO211" s="122">
        <v>6.5156977611726787E-3</v>
      </c>
      <c r="DP211" s="122">
        <v>6.8423242323661987E-3</v>
      </c>
      <c r="DQ211" s="122">
        <v>9.7494494830798577E-3</v>
      </c>
      <c r="DR211" s="122">
        <v>1.6880924837231871E-3</v>
      </c>
      <c r="DS211" s="122">
        <v>3.7657825471821881E-3</v>
      </c>
      <c r="DT211" s="122">
        <v>6.5156977611726787E-3</v>
      </c>
      <c r="DU211" s="122">
        <v>6.8423242323661987E-3</v>
      </c>
      <c r="DV211" s="122">
        <v>9.7494494830798577E-3</v>
      </c>
      <c r="DW211" s="122">
        <v>1.6880924837231871E-3</v>
      </c>
      <c r="DX211" s="122">
        <v>3.7657825471821881E-3</v>
      </c>
      <c r="DY211" s="122">
        <v>6.5156977611726787E-3</v>
      </c>
      <c r="DZ211" s="122">
        <v>6.8423242323661987E-3</v>
      </c>
      <c r="EA211" s="122">
        <v>9.7494494830798577E-3</v>
      </c>
      <c r="EB211" s="122">
        <v>2.0303525904647574E-3</v>
      </c>
      <c r="EC211" s="122">
        <v>1.2466950298238237E-3</v>
      </c>
      <c r="ED211" s="122">
        <v>1.3246134691878124E-3</v>
      </c>
      <c r="EE211" s="122">
        <v>2.1857187249993688E-3</v>
      </c>
      <c r="EF211" s="122">
        <v>2.0303525904647574E-3</v>
      </c>
      <c r="EG211" s="122">
        <v>1.2466950298238237E-3</v>
      </c>
      <c r="EH211" s="122">
        <v>1.3246134691878124E-3</v>
      </c>
      <c r="EI211" s="122">
        <v>2.1857187249993688E-3</v>
      </c>
      <c r="EJ211" s="122">
        <v>2.0303525904647574E-3</v>
      </c>
      <c r="EK211" s="122">
        <v>1.2466950298238237E-3</v>
      </c>
      <c r="EL211" s="122">
        <v>1.3246134691878124E-3</v>
      </c>
      <c r="EM211" s="122">
        <v>2.1857187249993688E-3</v>
      </c>
      <c r="EN211" s="122">
        <v>2.0303525904647574E-3</v>
      </c>
      <c r="EO211" s="122">
        <v>1.2466950298238237E-3</v>
      </c>
      <c r="EP211" s="122">
        <v>1.3246134691878124E-3</v>
      </c>
      <c r="EQ211" s="122">
        <v>2.1857187249993688E-3</v>
      </c>
      <c r="ER211" s="122">
        <v>1.6242820723718061E-3</v>
      </c>
      <c r="ES211" s="122">
        <v>9.9735602385905885E-4</v>
      </c>
      <c r="ET211" s="122">
        <v>1.05969077535025E-3</v>
      </c>
      <c r="EU211" s="122">
        <v>1.7485749799994951E-3</v>
      </c>
      <c r="EV211" s="122">
        <v>5.689282609377155E-3</v>
      </c>
      <c r="EW211" s="122">
        <v>4.0342174151229478E-3</v>
      </c>
      <c r="EX211" s="122">
        <v>8.478341840292853E-3</v>
      </c>
      <c r="EY211" s="122">
        <v>5.689282609377155E-3</v>
      </c>
      <c r="EZ211" s="122">
        <v>4.06392166231242E-3</v>
      </c>
      <c r="FA211" s="122">
        <v>8.478341840292853E-3</v>
      </c>
      <c r="FB211" s="122">
        <v>5.689282609377155E-3</v>
      </c>
      <c r="FC211" s="122">
        <v>4.06392166231242E-3</v>
      </c>
      <c r="FD211" s="122">
        <v>8.478341840292853E-3</v>
      </c>
      <c r="FE211" s="122">
        <v>5.689282609377155E-3</v>
      </c>
      <c r="FF211" s="122">
        <v>4.06392166231242E-3</v>
      </c>
      <c r="FG211" s="122">
        <v>8.478341840292853E-3</v>
      </c>
      <c r="FH211" s="122">
        <v>5.689282609377155E-3</v>
      </c>
      <c r="FI211" s="122">
        <v>4.0639216623124209E-3</v>
      </c>
      <c r="FJ211" s="122">
        <v>8.4783418402928547E-3</v>
      </c>
    </row>
    <row r="212" spans="1:166" x14ac:dyDescent="0.35">
      <c r="A212" s="122" t="s">
        <v>56</v>
      </c>
      <c r="B212" s="122">
        <v>3.0508424574507377E-3</v>
      </c>
      <c r="C212" s="122">
        <v>4.2005279333516936E-3</v>
      </c>
      <c r="D212" s="122">
        <v>7.534077906613007E-3</v>
      </c>
      <c r="E212" s="122">
        <v>7.0694481856246501E-3</v>
      </c>
      <c r="F212" s="122">
        <v>1.3262315940402478E-2</v>
      </c>
      <c r="G212" s="122">
        <v>5.1168445173227313E-3</v>
      </c>
      <c r="H212" s="122">
        <v>6.934951781538197E-3</v>
      </c>
      <c r="I212" s="122">
        <v>1.2206612204370044E-2</v>
      </c>
      <c r="J212" s="122">
        <v>1.1471848924667526E-2</v>
      </c>
      <c r="K212" s="122">
        <v>2.1265221188037118E-2</v>
      </c>
      <c r="L212" s="122">
        <v>5.9811217511302004E-3</v>
      </c>
      <c r="M212" s="122">
        <v>8.23627403078208E-3</v>
      </c>
      <c r="N212" s="122">
        <v>1.4775160516794658E-2</v>
      </c>
      <c r="O212" s="122">
        <v>1.3863771448702111E-2</v>
      </c>
      <c r="P212" s="122">
        <v>2.6011319736920165E-2</v>
      </c>
      <c r="Q212" s="122">
        <v>3.049199324105592E-3</v>
      </c>
      <c r="R212" s="122">
        <v>4.1988848000065488E-3</v>
      </c>
      <c r="S212" s="122">
        <v>7.5324347732678605E-3</v>
      </c>
      <c r="T212" s="122">
        <v>7.0678050522795036E-3</v>
      </c>
      <c r="U212" s="122">
        <v>1.3260672807057335E-2</v>
      </c>
      <c r="V212" s="122">
        <v>5.9766877885681705E-3</v>
      </c>
      <c r="W212" s="122">
        <v>4.5504621278008878E-3</v>
      </c>
      <c r="X212" s="122">
        <v>6.1407831406680592E-3</v>
      </c>
      <c r="Y212" s="122">
        <v>7.9123527978250015E-3</v>
      </c>
      <c r="Z212" s="122">
        <v>1.4367689826623082E-2</v>
      </c>
      <c r="AA212" s="122">
        <v>1.0960595192567906E-2</v>
      </c>
      <c r="AB212" s="122">
        <v>1.4759695389972809E-2</v>
      </c>
      <c r="AC212" s="122">
        <v>1.8991778459847734E-2</v>
      </c>
      <c r="AD212" s="122">
        <v>1.361627399540217E-2</v>
      </c>
      <c r="AE212" s="122">
        <v>1.0209179361346996E-2</v>
      </c>
      <c r="AF212" s="122">
        <v>1.4008279558751904E-2</v>
      </c>
      <c r="AG212" s="122">
        <v>1.8240362628626827E-2</v>
      </c>
      <c r="AH212" s="122">
        <v>5.7854702171406033E-3</v>
      </c>
      <c r="AI212" s="122">
        <v>4.7994376615484082E-3</v>
      </c>
      <c r="AJ212" s="122">
        <v>5.8989188556294123E-3</v>
      </c>
      <c r="AK212" s="122">
        <v>7.1237077544045839E-3</v>
      </c>
      <c r="AL212" s="122">
        <v>1.619652627929288E-2</v>
      </c>
      <c r="AM212" s="122">
        <v>1.2282329188076008E-2</v>
      </c>
      <c r="AN212" s="122">
        <v>1.6646876856722573E-2</v>
      </c>
      <c r="AO212" s="122">
        <v>2.1508851360253295E-2</v>
      </c>
      <c r="AP212" s="122">
        <v>7.4452438373778351E-2</v>
      </c>
      <c r="AQ212" s="122">
        <v>9.0588258540445679E-2</v>
      </c>
      <c r="AR212" s="122">
        <v>0.10752452400092077</v>
      </c>
      <c r="AS212" s="122">
        <v>3.1595085104697683E-2</v>
      </c>
      <c r="AT212" s="122">
        <v>3.5984983697615519E-2</v>
      </c>
      <c r="AU212" s="122">
        <v>4.6060878984930748E-2</v>
      </c>
      <c r="AV212" s="122">
        <v>3.5419879251199486E-2</v>
      </c>
      <c r="AW212" s="122">
        <v>4.0722189467796682E-2</v>
      </c>
      <c r="AX212" s="122">
        <v>5.2124332062707626E-2</v>
      </c>
      <c r="AY212" s="122">
        <v>4.4932243574966765E-2</v>
      </c>
      <c r="AZ212" s="122">
        <v>5.3145387082752821E-2</v>
      </c>
      <c r="BA212" s="122">
        <v>6.5380285247509204E-2</v>
      </c>
      <c r="BB212" s="122">
        <v>3.4013621607513936E-2</v>
      </c>
      <c r="BC212" s="122">
        <v>4.1647411448403268E-2</v>
      </c>
      <c r="BD212" s="122">
        <v>5.2178624762804826E-2</v>
      </c>
      <c r="BE212" s="122">
        <v>4.042048298857466E-3</v>
      </c>
      <c r="BF212" s="122">
        <v>5.0072972526644857E-3</v>
      </c>
      <c r="BG212" s="122">
        <v>6.6337156716007022E-3</v>
      </c>
      <c r="BH212" s="122">
        <v>6.5847714224883201E-3</v>
      </c>
      <c r="BI212" s="122">
        <v>9.3593150247545283E-3</v>
      </c>
      <c r="BJ212" s="122">
        <v>6.6843328246636025E-3</v>
      </c>
      <c r="BK212" s="122">
        <v>8.2107730306840102E-3</v>
      </c>
      <c r="BL212" s="122">
        <v>1.0782783553652911E-2</v>
      </c>
      <c r="BM212" s="122">
        <v>1.0705383345754259E-2</v>
      </c>
      <c r="BN212" s="122">
        <v>1.5093033693524077E-2</v>
      </c>
      <c r="BO212" s="122">
        <v>7.9254101323510857E-3</v>
      </c>
      <c r="BP212" s="122">
        <v>9.8187830802033259E-3</v>
      </c>
      <c r="BQ212" s="122">
        <v>1.300906536350129E-2</v>
      </c>
      <c r="BR212" s="122">
        <v>1.291305933639623E-2</v>
      </c>
      <c r="BS212" s="122">
        <v>1.8355433325456878E-2</v>
      </c>
      <c r="BT212" s="122">
        <v>4.0404051655123178E-3</v>
      </c>
      <c r="BU212" s="122">
        <v>5.0056541193193391E-3</v>
      </c>
      <c r="BV212" s="122">
        <v>6.6320725382555557E-3</v>
      </c>
      <c r="BW212" s="122">
        <v>6.5831282891431735E-3</v>
      </c>
      <c r="BX212" s="122">
        <v>9.3576718914093818E-3</v>
      </c>
      <c r="BY212" s="122">
        <v>6.5212037114611727E-3</v>
      </c>
      <c r="BZ212" s="122">
        <v>4.6143813066559201E-3</v>
      </c>
      <c r="CA212" s="122">
        <v>5.6971707976823521E-3</v>
      </c>
      <c r="CB212" s="122">
        <v>6.6168950311522902E-3</v>
      </c>
      <c r="CC212" s="122">
        <v>1.5668477864645258E-2</v>
      </c>
      <c r="CD212" s="122">
        <v>1.1113291008721595E-2</v>
      </c>
      <c r="CE212" s="122">
        <v>1.3699954792840295E-2</v>
      </c>
      <c r="CF212" s="122">
        <v>1.5897073795018479E-2</v>
      </c>
      <c r="CG212" s="122">
        <v>1.4917062033424348E-2</v>
      </c>
      <c r="CH212" s="122">
        <v>1.0361875177500689E-2</v>
      </c>
      <c r="CI212" s="122">
        <v>1.2948538961619386E-2</v>
      </c>
      <c r="CJ212" s="122">
        <v>1.5145657963797575E-2</v>
      </c>
      <c r="CK212" s="122">
        <v>6.1619256700049009E-3</v>
      </c>
      <c r="CL212" s="122">
        <v>4.8436286987815179E-3</v>
      </c>
      <c r="CM212" s="122">
        <v>5.5922239024541135E-3</v>
      </c>
      <c r="CN212" s="122">
        <v>6.2280826317666592E-3</v>
      </c>
      <c r="CO212" s="122">
        <v>1.7690919978788126E-2</v>
      </c>
      <c r="CP212" s="122">
        <v>1.2457751823378159E-2</v>
      </c>
      <c r="CQ212" s="122">
        <v>1.5429407426528471E-2</v>
      </c>
      <c r="CR212" s="122">
        <v>1.7953539489495973E-2</v>
      </c>
      <c r="CS212" s="122">
        <v>7.6876882824399598E-2</v>
      </c>
      <c r="CT212" s="122">
        <v>7.4923389165429066E-2</v>
      </c>
      <c r="CU212" s="122">
        <v>8.6183568907200733E-2</v>
      </c>
      <c r="CV212" s="122">
        <v>3.3063859769054259E-2</v>
      </c>
      <c r="CW212" s="122">
        <v>3.0038396682225112E-2</v>
      </c>
      <c r="CX212" s="122">
        <v>3.6697839007278216E-2</v>
      </c>
      <c r="CY212" s="122">
        <v>3.7080287032533417E-2</v>
      </c>
      <c r="CZ212" s="122">
        <v>3.3758666671698537E-2</v>
      </c>
      <c r="DA212" s="122">
        <v>4.1314798101655878E-2</v>
      </c>
      <c r="DB212" s="122">
        <v>4.6701131539108001E-2</v>
      </c>
      <c r="DC212" s="122">
        <v>4.3906776181507109E-2</v>
      </c>
      <c r="DD212" s="122">
        <v>5.2166634877274909E-2</v>
      </c>
      <c r="DE212" s="122">
        <v>3.3608769211431043E-2</v>
      </c>
      <c r="DF212" s="122">
        <v>3.4456895644069833E-2</v>
      </c>
      <c r="DG212" s="122">
        <v>4.1501108389013566E-2</v>
      </c>
      <c r="DH212" s="122">
        <v>3.9106894766809553E-3</v>
      </c>
      <c r="DI212" s="122">
        <v>4.7928788504426369E-3</v>
      </c>
      <c r="DJ212" s="122">
        <v>4.3621202613202542E-3</v>
      </c>
      <c r="DK212" s="122">
        <v>4.4727240196571413E-3</v>
      </c>
      <c r="DL212" s="122">
        <v>5.8114764709476692E-3</v>
      </c>
      <c r="DM212" s="122">
        <v>6.4766025942449342E-3</v>
      </c>
      <c r="DN212" s="122">
        <v>7.8716927667052683E-3</v>
      </c>
      <c r="DO212" s="122">
        <v>7.1904931373954553E-3</v>
      </c>
      <c r="DP212" s="122">
        <v>7.3654014063933224E-3</v>
      </c>
      <c r="DQ212" s="122">
        <v>9.4824983061085784E-3</v>
      </c>
      <c r="DR212" s="122">
        <v>7.6677447503894734E-3</v>
      </c>
      <c r="DS212" s="122">
        <v>9.3981931373835412E-3</v>
      </c>
      <c r="DT212" s="122">
        <v>8.5532435971819448E-3</v>
      </c>
      <c r="DU212" s="122">
        <v>8.7701971231504573E-3</v>
      </c>
      <c r="DV212" s="122">
        <v>1.1396211546835721E-2</v>
      </c>
      <c r="DW212" s="122">
        <v>3.9090463433358071E-3</v>
      </c>
      <c r="DX212" s="122">
        <v>4.7912357170974904E-3</v>
      </c>
      <c r="DY212" s="122">
        <v>4.3604771279751077E-3</v>
      </c>
      <c r="DZ212" s="122">
        <v>4.4710808863119966E-3</v>
      </c>
      <c r="EA212" s="122">
        <v>5.809833337602521E-3</v>
      </c>
      <c r="EB212" s="122">
        <v>6.5231460001078049E-3</v>
      </c>
      <c r="EC212" s="122">
        <v>4.4869721657444586E-3</v>
      </c>
      <c r="ED212" s="122">
        <v>4.8924016644783883E-3</v>
      </c>
      <c r="EE212" s="122">
        <v>4.7887289868741266E-3</v>
      </c>
      <c r="EF212" s="122">
        <v>1.5673117776412206E-2</v>
      </c>
      <c r="EG212" s="122">
        <v>1.0808924727655326E-2</v>
      </c>
      <c r="EH212" s="122">
        <v>1.1777450752408599E-2</v>
      </c>
      <c r="EI212" s="122">
        <v>1.152978824479842E-2</v>
      </c>
      <c r="EJ212" s="122">
        <v>1.4921701945191299E-2</v>
      </c>
      <c r="EK212" s="122">
        <v>1.0057508896434416E-2</v>
      </c>
      <c r="EL212" s="122">
        <v>1.1026034921187691E-2</v>
      </c>
      <c r="EM212" s="122">
        <v>1.0778372413577514E-2</v>
      </c>
      <c r="EN212" s="122">
        <v>6.1632684868470171E-3</v>
      </c>
      <c r="EO212" s="122">
        <v>4.7555433667933449E-3</v>
      </c>
      <c r="EP212" s="122">
        <v>5.0358403041896437E-3</v>
      </c>
      <c r="EQ212" s="122">
        <v>4.9641653665866946E-3</v>
      </c>
      <c r="ER212" s="122">
        <v>1.7696250482073878E-2</v>
      </c>
      <c r="ES212" s="122">
        <v>1.2108084514432254E-2</v>
      </c>
      <c r="ET212" s="122">
        <v>1.322076324984648E-2</v>
      </c>
      <c r="EU212" s="122">
        <v>1.2936239345754785E-2</v>
      </c>
      <c r="EV212" s="122">
        <v>7.6715544903380575E-2</v>
      </c>
      <c r="EW212" s="122">
        <v>6.9097617972363107E-2</v>
      </c>
      <c r="EX212" s="122">
        <v>7.5001533233068851E-2</v>
      </c>
      <c r="EY212" s="122">
        <v>3.2599074795046028E-2</v>
      </c>
      <c r="EZ212" s="122">
        <v>2.7817614593628102E-2</v>
      </c>
      <c r="FA212" s="122">
        <v>3.1164462188637714E-2</v>
      </c>
      <c r="FB212" s="122">
        <v>3.657800982034775E-2</v>
      </c>
      <c r="FC212" s="122">
        <v>3.1184090487547715E-2</v>
      </c>
      <c r="FD212" s="122">
        <v>3.4981211051024294E-2</v>
      </c>
      <c r="FE212" s="122">
        <v>4.6340814332013466E-2</v>
      </c>
      <c r="FF212" s="122">
        <v>4.068044721738355E-2</v>
      </c>
      <c r="FG212" s="122">
        <v>4.4828365307855556E-2</v>
      </c>
      <c r="FH212" s="122">
        <v>3.3594890674001107E-2</v>
      </c>
      <c r="FI212" s="122">
        <v>3.1879760742389504E-2</v>
      </c>
      <c r="FJ212" s="122">
        <v>3.541841064251966E-2</v>
      </c>
    </row>
    <row r="213" spans="1:166" x14ac:dyDescent="0.35">
      <c r="A213" s="122" t="s">
        <v>73</v>
      </c>
      <c r="B213" s="122">
        <v>0</v>
      </c>
      <c r="C213" s="122">
        <v>0</v>
      </c>
      <c r="D213" s="122">
        <v>1.7780113542686798E-3</v>
      </c>
      <c r="E213" s="122">
        <v>1.3059212784333231E-3</v>
      </c>
      <c r="F213" s="122">
        <v>1.1742675572231354E-3</v>
      </c>
      <c r="G213" s="122">
        <v>0</v>
      </c>
      <c r="H213" s="122">
        <v>0</v>
      </c>
      <c r="I213" s="122">
        <v>1.8216255696068655E-3</v>
      </c>
      <c r="J213" s="122">
        <v>1.3400606185818564E-3</v>
      </c>
      <c r="K213" s="122">
        <v>1.1906308738093702E-3</v>
      </c>
      <c r="L213" s="122">
        <v>0</v>
      </c>
      <c r="M213" s="122">
        <v>0</v>
      </c>
      <c r="N213" s="122">
        <v>1.7776235815670366E-3</v>
      </c>
      <c r="O213" s="122">
        <v>1.305617746567414E-3</v>
      </c>
      <c r="P213" s="122">
        <v>1.1741220714582001E-3</v>
      </c>
      <c r="Q213" s="122">
        <v>0</v>
      </c>
      <c r="R213" s="122">
        <v>0</v>
      </c>
      <c r="S213" s="122">
        <v>1.7776235815670366E-3</v>
      </c>
      <c r="T213" s="122">
        <v>1.305617746567414E-3</v>
      </c>
      <c r="U213" s="122">
        <v>1.1741220714582001E-3</v>
      </c>
      <c r="V213" s="122">
        <v>0</v>
      </c>
      <c r="W213" s="122">
        <v>0</v>
      </c>
      <c r="X213" s="122">
        <v>4.0156420460996621E-4</v>
      </c>
      <c r="Y213" s="122">
        <v>2.5575281770747436E-4</v>
      </c>
      <c r="Z213" s="122">
        <v>0</v>
      </c>
      <c r="AA213" s="122">
        <v>0</v>
      </c>
      <c r="AB213" s="122">
        <v>4.0402912813991207E-4</v>
      </c>
      <c r="AC213" s="122">
        <v>2.5697120960470506E-4</v>
      </c>
      <c r="AD213" s="122">
        <v>0</v>
      </c>
      <c r="AE213" s="122">
        <v>0</v>
      </c>
      <c r="AF213" s="122">
        <v>3.834600123731359E-4</v>
      </c>
      <c r="AG213" s="122">
        <v>2.4680406093702256E-4</v>
      </c>
      <c r="AH213" s="122">
        <v>0</v>
      </c>
      <c r="AI213" s="122">
        <v>0</v>
      </c>
      <c r="AJ213" s="122">
        <v>5.5795689167880726E-4</v>
      </c>
      <c r="AK213" s="122">
        <v>3.3305646643969761E-4</v>
      </c>
      <c r="AL213" s="122">
        <v>0</v>
      </c>
      <c r="AM213" s="122">
        <v>0</v>
      </c>
      <c r="AN213" s="122">
        <v>2.5200330977196567E-4</v>
      </c>
      <c r="AO213" s="122">
        <v>1.6154039629832917E-4</v>
      </c>
      <c r="AP213" s="122">
        <v>0</v>
      </c>
      <c r="AQ213" s="122">
        <v>1.2716571069092006E-2</v>
      </c>
      <c r="AR213" s="122">
        <v>7.142568057495996E-3</v>
      </c>
      <c r="AS213" s="122">
        <v>0</v>
      </c>
      <c r="AT213" s="122">
        <v>7.0560482975951244E-3</v>
      </c>
      <c r="AU213" s="122">
        <v>4.2738689641131367E-3</v>
      </c>
      <c r="AV213" s="122">
        <v>0</v>
      </c>
      <c r="AW213" s="122">
        <v>7.1244889189110566E-3</v>
      </c>
      <c r="AX213" s="122">
        <v>4.3153084595425883E-3</v>
      </c>
      <c r="AY213" s="122">
        <v>0</v>
      </c>
      <c r="AZ213" s="122">
        <v>9.2979706226684333E-3</v>
      </c>
      <c r="BA213" s="122">
        <v>5.412752295347642E-3</v>
      </c>
      <c r="BB213" s="122">
        <v>0</v>
      </c>
      <c r="BC213" s="122">
        <v>8.1663548639935163E-3</v>
      </c>
      <c r="BD213" s="122">
        <v>4.8415186570107405E-3</v>
      </c>
      <c r="BE213" s="122">
        <v>0</v>
      </c>
      <c r="BF213" s="122">
        <v>0</v>
      </c>
      <c r="BG213" s="122">
        <v>1.5292587215754768E-3</v>
      </c>
      <c r="BH213" s="122">
        <v>1.1991394509543486E-3</v>
      </c>
      <c r="BI213" s="122">
        <v>8.2868935115014072E-4</v>
      </c>
      <c r="BJ213" s="122">
        <v>0</v>
      </c>
      <c r="BK213" s="122">
        <v>0</v>
      </c>
      <c r="BL213" s="122">
        <v>1.5718624642608366E-3</v>
      </c>
      <c r="BM213" s="122">
        <v>1.2327946859695196E-3</v>
      </c>
      <c r="BN213" s="122">
        <v>8.4505266773637205E-4</v>
      </c>
      <c r="BO213" s="122">
        <v>0</v>
      </c>
      <c r="BP213" s="122">
        <v>0</v>
      </c>
      <c r="BQ213" s="122">
        <v>1.5288799329563722E-3</v>
      </c>
      <c r="BR213" s="122">
        <v>1.198840223252895E-3</v>
      </c>
      <c r="BS213" s="122">
        <v>8.285438653852055E-4</v>
      </c>
      <c r="BT213" s="122">
        <v>0</v>
      </c>
      <c r="BU213" s="122">
        <v>0</v>
      </c>
      <c r="BV213" s="122">
        <v>1.5288799329563722E-3</v>
      </c>
      <c r="BW213" s="122">
        <v>1.198840223252895E-3</v>
      </c>
      <c r="BX213" s="122">
        <v>8.285438653852055E-4</v>
      </c>
      <c r="BY213" s="122">
        <v>0</v>
      </c>
      <c r="BZ213" s="122">
        <v>0</v>
      </c>
      <c r="CA213" s="122">
        <v>2.9029231181694655E-4</v>
      </c>
      <c r="CB213" s="122">
        <v>2.1387943535037743E-4</v>
      </c>
      <c r="CC213" s="122">
        <v>0</v>
      </c>
      <c r="CD213" s="122">
        <v>0</v>
      </c>
      <c r="CE213" s="122">
        <v>2.9221296306525431E-4</v>
      </c>
      <c r="CF213" s="122">
        <v>2.1509782724760639E-4</v>
      </c>
      <c r="CG213" s="122">
        <v>0</v>
      </c>
      <c r="CH213" s="122">
        <v>0</v>
      </c>
      <c r="CI213" s="122">
        <v>2.7618565130726677E-4</v>
      </c>
      <c r="CJ213" s="122">
        <v>2.0493067857992563E-4</v>
      </c>
      <c r="CK213" s="122">
        <v>0</v>
      </c>
      <c r="CL213" s="122">
        <v>0</v>
      </c>
      <c r="CM213" s="122">
        <v>4.1215240443067541E-4</v>
      </c>
      <c r="CN213" s="122">
        <v>2.9118308408259547E-4</v>
      </c>
      <c r="CO213" s="122">
        <v>0</v>
      </c>
      <c r="CP213" s="122">
        <v>0</v>
      </c>
      <c r="CQ213" s="122">
        <v>1.822924467675055E-4</v>
      </c>
      <c r="CR213" s="122">
        <v>1.3483852928800576E-4</v>
      </c>
      <c r="CS213" s="122">
        <v>0</v>
      </c>
      <c r="CT213" s="122">
        <v>8.0688902521887235E-3</v>
      </c>
      <c r="CU213" s="122">
        <v>4.1918881749010567E-3</v>
      </c>
      <c r="CV213" s="122">
        <v>0</v>
      </c>
      <c r="CW213" s="122">
        <v>4.5187182685480012E-3</v>
      </c>
      <c r="CX213" s="122">
        <v>2.4932614832680611E-3</v>
      </c>
      <c r="CY213" s="122">
        <v>0</v>
      </c>
      <c r="CZ213" s="122">
        <v>4.5311262470014782E-3</v>
      </c>
      <c r="DA213" s="122">
        <v>2.5044671072660674E-3</v>
      </c>
      <c r="DB213" s="122">
        <v>0</v>
      </c>
      <c r="DC213" s="122">
        <v>5.8932169303959198E-3</v>
      </c>
      <c r="DD213" s="122">
        <v>3.1622960089367491E-3</v>
      </c>
      <c r="DE213" s="122">
        <v>0</v>
      </c>
      <c r="DF213" s="122">
        <v>5.1833992829732126E-3</v>
      </c>
      <c r="DG213" s="122">
        <v>2.8195969533448134E-3</v>
      </c>
      <c r="DH213" s="122">
        <v>0</v>
      </c>
      <c r="DI213" s="122">
        <v>0</v>
      </c>
      <c r="DJ213" s="122">
        <v>8.0959404886648406E-4</v>
      </c>
      <c r="DK213" s="122">
        <v>7.1717617746091741E-4</v>
      </c>
      <c r="DL213" s="122">
        <v>5.1455781253182363E-4</v>
      </c>
      <c r="DM213" s="122">
        <v>0</v>
      </c>
      <c r="DN213" s="122">
        <v>0</v>
      </c>
      <c r="DO213" s="122">
        <v>8.438939851007736E-4</v>
      </c>
      <c r="DP213" s="122">
        <v>7.4680929840831821E-4</v>
      </c>
      <c r="DQ213" s="122">
        <v>5.3092112911805843E-4</v>
      </c>
      <c r="DR213" s="122">
        <v>0</v>
      </c>
      <c r="DS213" s="122">
        <v>0</v>
      </c>
      <c r="DT213" s="122">
        <v>8.0928908914551512E-4</v>
      </c>
      <c r="DU213" s="122">
        <v>7.1691271025696099E-4</v>
      </c>
      <c r="DV213" s="122">
        <v>5.1441232676689014E-4</v>
      </c>
      <c r="DW213" s="122">
        <v>0</v>
      </c>
      <c r="DX213" s="122">
        <v>0</v>
      </c>
      <c r="DY213" s="122">
        <v>8.0928908914551512E-4</v>
      </c>
      <c r="DZ213" s="122">
        <v>7.1691271025696099E-4</v>
      </c>
      <c r="EA213" s="122">
        <v>5.1441232676689014E-4</v>
      </c>
      <c r="EB213" s="122">
        <v>0</v>
      </c>
      <c r="EC213" s="122">
        <v>0</v>
      </c>
      <c r="ED213" s="122">
        <v>1.5849660754525298E-4</v>
      </c>
      <c r="EE213" s="122">
        <v>1.5478719957572919E-4</v>
      </c>
      <c r="EF213" s="122">
        <v>0</v>
      </c>
      <c r="EG213" s="122">
        <v>0</v>
      </c>
      <c r="EH213" s="122">
        <v>1.5971776055492652E-4</v>
      </c>
      <c r="EI213" s="122">
        <v>1.5600559147295988E-4</v>
      </c>
      <c r="EJ213" s="122">
        <v>0</v>
      </c>
      <c r="EK213" s="122">
        <v>0</v>
      </c>
      <c r="EL213" s="122">
        <v>1.4952757115561412E-4</v>
      </c>
      <c r="EM213" s="122">
        <v>1.4583844280527739E-4</v>
      </c>
      <c r="EN213" s="122">
        <v>0</v>
      </c>
      <c r="EO213" s="122">
        <v>0</v>
      </c>
      <c r="EP213" s="122">
        <v>2.3597544134485934E-4</v>
      </c>
      <c r="EQ213" s="122">
        <v>2.3209084830794896E-4</v>
      </c>
      <c r="ER213" s="122">
        <v>0</v>
      </c>
      <c r="ES213" s="122">
        <v>0</v>
      </c>
      <c r="ET213" s="122">
        <v>9.9517617439792358E-5</v>
      </c>
      <c r="EU213" s="122">
        <v>9.7156523866491137E-5</v>
      </c>
      <c r="EV213" s="122">
        <v>0</v>
      </c>
      <c r="EW213" s="122">
        <v>4.6393934903808803E-3</v>
      </c>
      <c r="EX213" s="122">
        <v>1.9547285667054076E-3</v>
      </c>
      <c r="EY213" s="122">
        <v>0</v>
      </c>
      <c r="EZ213" s="122">
        <v>2.6089162703623742E-3</v>
      </c>
      <c r="FA213" s="122">
        <v>1.134535468271039E-3</v>
      </c>
      <c r="FB213" s="122">
        <v>0</v>
      </c>
      <c r="FC213" s="122">
        <v>2.6094903670234107E-3</v>
      </c>
      <c r="FD213" s="122">
        <v>1.136254567975066E-3</v>
      </c>
      <c r="FE213" s="122">
        <v>0</v>
      </c>
      <c r="FF213" s="122">
        <v>3.4041472263671158E-3</v>
      </c>
      <c r="FG213" s="122">
        <v>1.4561083886320825E-3</v>
      </c>
      <c r="FH213" s="122">
        <v>0</v>
      </c>
      <c r="FI213" s="122">
        <v>2.9898906757853672E-3</v>
      </c>
      <c r="FJ213" s="122">
        <v>1.2893995365778343E-3</v>
      </c>
    </row>
    <row r="214" spans="1:166" x14ac:dyDescent="0.35">
      <c r="A214" s="122" t="s">
        <v>204</v>
      </c>
      <c r="B214" s="122">
        <v>1.829443359540834E-3</v>
      </c>
      <c r="C214" s="122">
        <v>1.7360815489011045E-3</v>
      </c>
      <c r="D214" s="122">
        <v>2.4304989935415751E-4</v>
      </c>
      <c r="E214" s="122">
        <v>2.4772393588019895E-4</v>
      </c>
      <c r="F214" s="122">
        <v>3.1444724009633705E-4</v>
      </c>
      <c r="G214" s="122">
        <v>1.829443359540834E-3</v>
      </c>
      <c r="H214" s="122">
        <v>1.7360815489011045E-3</v>
      </c>
      <c r="I214" s="122">
        <v>2.4304989935415751E-4</v>
      </c>
      <c r="J214" s="122">
        <v>2.4772393588019895E-4</v>
      </c>
      <c r="K214" s="122">
        <v>3.1444724009633705E-4</v>
      </c>
      <c r="L214" s="122">
        <v>1.829443359540834E-3</v>
      </c>
      <c r="M214" s="122">
        <v>1.7360815489011045E-3</v>
      </c>
      <c r="N214" s="122">
        <v>2.4304989935415751E-4</v>
      </c>
      <c r="O214" s="122">
        <v>2.4772393588019895E-4</v>
      </c>
      <c r="P214" s="122">
        <v>3.1444724009633705E-4</v>
      </c>
      <c r="Q214" s="122">
        <v>1.829443359540834E-3</v>
      </c>
      <c r="R214" s="122">
        <v>1.7360815489011045E-3</v>
      </c>
      <c r="S214" s="122">
        <v>2.4304989935415751E-4</v>
      </c>
      <c r="T214" s="122">
        <v>2.4772393588019895E-4</v>
      </c>
      <c r="U214" s="122">
        <v>3.1444724009633705E-4</v>
      </c>
      <c r="V214" s="122">
        <v>8.6996317577796474E-4</v>
      </c>
      <c r="W214" s="122">
        <v>3.070434634345955E-5</v>
      </c>
      <c r="X214" s="122">
        <v>3.2623367989925765E-5</v>
      </c>
      <c r="Y214" s="122">
        <v>7.390092301741751E-5</v>
      </c>
      <c r="Z214" s="122">
        <v>8.6996317577796474E-4</v>
      </c>
      <c r="AA214" s="122">
        <v>3.070434634345955E-5</v>
      </c>
      <c r="AB214" s="122">
        <v>3.2623367989925765E-5</v>
      </c>
      <c r="AC214" s="122">
        <v>7.390092301741751E-5</v>
      </c>
      <c r="AD214" s="122">
        <v>8.6996317577796474E-4</v>
      </c>
      <c r="AE214" s="122">
        <v>3.070434634345955E-5</v>
      </c>
      <c r="AF214" s="122">
        <v>3.2623367989925765E-5</v>
      </c>
      <c r="AG214" s="122">
        <v>7.390092301741751E-5</v>
      </c>
      <c r="AH214" s="122">
        <v>8.6996317577796474E-4</v>
      </c>
      <c r="AI214" s="122">
        <v>3.070434634345955E-5</v>
      </c>
      <c r="AJ214" s="122">
        <v>3.2623367989925765E-5</v>
      </c>
      <c r="AK214" s="122">
        <v>7.390092301741751E-5</v>
      </c>
      <c r="AL214" s="122">
        <v>6.959705406223717E-4</v>
      </c>
      <c r="AM214" s="122">
        <v>2.4563477074767639E-5</v>
      </c>
      <c r="AN214" s="122">
        <v>2.6098694391940615E-5</v>
      </c>
      <c r="AO214" s="122">
        <v>5.9120738413934012E-5</v>
      </c>
      <c r="AP214" s="122">
        <v>2.9375323900042061E-3</v>
      </c>
      <c r="AQ214" s="122">
        <v>1.3227196424206973E-4</v>
      </c>
      <c r="AR214" s="122">
        <v>3.4287712042257822E-4</v>
      </c>
      <c r="AS214" s="122">
        <v>2.9375323900042061E-3</v>
      </c>
      <c r="AT214" s="122">
        <v>1.3227196424206973E-4</v>
      </c>
      <c r="AU214" s="122">
        <v>3.4287712042257822E-4</v>
      </c>
      <c r="AV214" s="122">
        <v>2.9375323900042061E-3</v>
      </c>
      <c r="AW214" s="122">
        <v>1.3227196424206973E-4</v>
      </c>
      <c r="AX214" s="122">
        <v>3.4287712042257822E-4</v>
      </c>
      <c r="AY214" s="122">
        <v>2.9375323900042061E-3</v>
      </c>
      <c r="AZ214" s="122">
        <v>1.3227196424206973E-4</v>
      </c>
      <c r="BA214" s="122">
        <v>3.4287712042257822E-4</v>
      </c>
      <c r="BB214" s="122">
        <v>2.9375323900042061E-3</v>
      </c>
      <c r="BC214" s="122">
        <v>1.3227196424206976E-4</v>
      </c>
      <c r="BD214" s="122">
        <v>3.4287712042257822E-4</v>
      </c>
      <c r="BE214" s="122">
        <v>4.1524661257787056E-3</v>
      </c>
      <c r="BF214" s="122">
        <v>3.9405537131308793E-3</v>
      </c>
      <c r="BG214" s="122">
        <v>3.2327580827179973E-4</v>
      </c>
      <c r="BH214" s="122">
        <v>3.29492650738565E-4</v>
      </c>
      <c r="BI214" s="122">
        <v>4.1823998269942579E-4</v>
      </c>
      <c r="BJ214" s="122">
        <v>4.1524661257787056E-3</v>
      </c>
      <c r="BK214" s="122">
        <v>3.9405537131308793E-3</v>
      </c>
      <c r="BL214" s="122">
        <v>3.2327580827179973E-4</v>
      </c>
      <c r="BM214" s="122">
        <v>3.29492650738565E-4</v>
      </c>
      <c r="BN214" s="122">
        <v>4.1823998269942579E-4</v>
      </c>
      <c r="BO214" s="122">
        <v>4.1524661257787056E-3</v>
      </c>
      <c r="BP214" s="122">
        <v>3.9405537131308793E-3</v>
      </c>
      <c r="BQ214" s="122">
        <v>3.2327580827179973E-4</v>
      </c>
      <c r="BR214" s="122">
        <v>3.29492650738565E-4</v>
      </c>
      <c r="BS214" s="122">
        <v>4.1823998269942579E-4</v>
      </c>
      <c r="BT214" s="122">
        <v>4.1524661257787056E-3</v>
      </c>
      <c r="BU214" s="122">
        <v>3.9405537131308793E-3</v>
      </c>
      <c r="BV214" s="122">
        <v>3.2327580827179973E-4</v>
      </c>
      <c r="BW214" s="122">
        <v>3.29492650738565E-4</v>
      </c>
      <c r="BX214" s="122">
        <v>4.1823998269942579E-4</v>
      </c>
      <c r="BY214" s="122">
        <v>2.0378339096479639E-3</v>
      </c>
      <c r="BZ214" s="122">
        <v>4.0839236749387171E-5</v>
      </c>
      <c r="CA214" s="122">
        <v>4.3391689046223865E-5</v>
      </c>
      <c r="CB214" s="122">
        <v>9.8294139121103233E-5</v>
      </c>
      <c r="CC214" s="122">
        <v>2.0378339096479639E-3</v>
      </c>
      <c r="CD214" s="122">
        <v>4.0839236749387171E-5</v>
      </c>
      <c r="CE214" s="122">
        <v>4.3391689046223865E-5</v>
      </c>
      <c r="CF214" s="122">
        <v>9.8294139121103233E-5</v>
      </c>
      <c r="CG214" s="122">
        <v>2.0378339096479639E-3</v>
      </c>
      <c r="CH214" s="122">
        <v>4.0839236749387171E-5</v>
      </c>
      <c r="CI214" s="122">
        <v>4.3391689046223865E-5</v>
      </c>
      <c r="CJ214" s="122">
        <v>9.8294139121103233E-5</v>
      </c>
      <c r="CK214" s="122">
        <v>2.0378339096479639E-3</v>
      </c>
      <c r="CL214" s="122">
        <v>4.0839236749387171E-5</v>
      </c>
      <c r="CM214" s="122">
        <v>4.3391689046223865E-5</v>
      </c>
      <c r="CN214" s="122">
        <v>9.8294139121103233E-5</v>
      </c>
      <c r="CO214" s="122">
        <v>1.6302671277183709E-3</v>
      </c>
      <c r="CP214" s="122">
        <v>3.2671389399509734E-5</v>
      </c>
      <c r="CQ214" s="122">
        <v>3.4713351236979088E-5</v>
      </c>
      <c r="CR214" s="122">
        <v>7.8635311296882581E-5</v>
      </c>
      <c r="CS214" s="122">
        <v>6.3738697451547754E-3</v>
      </c>
      <c r="CT214" s="122">
        <v>1.7593229318620677E-4</v>
      </c>
      <c r="CU214" s="122">
        <v>4.5605399770604809E-4</v>
      </c>
      <c r="CV214" s="122">
        <v>6.3738697451547754E-3</v>
      </c>
      <c r="CW214" s="122">
        <v>1.7593229318620677E-4</v>
      </c>
      <c r="CX214" s="122">
        <v>4.5605399770604809E-4</v>
      </c>
      <c r="CY214" s="122">
        <v>6.3738697451547754E-3</v>
      </c>
      <c r="CZ214" s="122">
        <v>1.7593229318620677E-4</v>
      </c>
      <c r="DA214" s="122">
        <v>4.5605399770604809E-4</v>
      </c>
      <c r="DB214" s="122">
        <v>6.3738697451547754E-3</v>
      </c>
      <c r="DC214" s="122">
        <v>1.7593229318620677E-4</v>
      </c>
      <c r="DD214" s="122">
        <v>4.5605399770604809E-4</v>
      </c>
      <c r="DE214" s="122">
        <v>6.3738697451547754E-3</v>
      </c>
      <c r="DF214" s="122">
        <v>1.7593229318620677E-4</v>
      </c>
      <c r="DG214" s="122">
        <v>4.5605399770604809E-4</v>
      </c>
      <c r="DH214" s="122">
        <v>3.9785632626608411E-3</v>
      </c>
      <c r="DI214" s="122">
        <v>3.7755256184454147E-3</v>
      </c>
      <c r="DJ214" s="122">
        <v>1.2840718932885571E-6</v>
      </c>
      <c r="DK214" s="122">
        <v>1.3087655835441336E-6</v>
      </c>
      <c r="DL214" s="122">
        <v>1.6612755816924542E-6</v>
      </c>
      <c r="DM214" s="122">
        <v>3.9785632626608411E-3</v>
      </c>
      <c r="DN214" s="122">
        <v>3.7755256184454147E-3</v>
      </c>
      <c r="DO214" s="122">
        <v>1.2840718932885571E-6</v>
      </c>
      <c r="DP214" s="122">
        <v>1.3087655835441336E-6</v>
      </c>
      <c r="DQ214" s="122">
        <v>1.6612755816924542E-6</v>
      </c>
      <c r="DR214" s="122">
        <v>3.9785632626608411E-3</v>
      </c>
      <c r="DS214" s="122">
        <v>3.7755256184454147E-3</v>
      </c>
      <c r="DT214" s="122">
        <v>1.2840718932885571E-6</v>
      </c>
      <c r="DU214" s="122">
        <v>1.3087655835441336E-6</v>
      </c>
      <c r="DV214" s="122">
        <v>1.6612755816924542E-6</v>
      </c>
      <c r="DW214" s="122">
        <v>3.9785632626608411E-3</v>
      </c>
      <c r="DX214" s="122">
        <v>3.7755256184454147E-3</v>
      </c>
      <c r="DY214" s="122">
        <v>1.2840718932885571E-6</v>
      </c>
      <c r="DZ214" s="122">
        <v>1.3087655835441336E-6</v>
      </c>
      <c r="EA214" s="122">
        <v>1.6612755816924542E-6</v>
      </c>
      <c r="EB214" s="122">
        <v>2.0378339096479639E-3</v>
      </c>
      <c r="EC214" s="122">
        <v>1.6221602331949914E-7</v>
      </c>
      <c r="ED214" s="122">
        <v>1.7235452477696371E-7</v>
      </c>
      <c r="EE214" s="122">
        <v>3.9043051812366417E-7</v>
      </c>
      <c r="EF214" s="122">
        <v>2.0378339096479639E-3</v>
      </c>
      <c r="EG214" s="122">
        <v>1.6221602331949914E-7</v>
      </c>
      <c r="EH214" s="122">
        <v>1.7235452477696371E-7</v>
      </c>
      <c r="EI214" s="122">
        <v>3.9043051812366417E-7</v>
      </c>
      <c r="EJ214" s="122">
        <v>2.0378339096479639E-3</v>
      </c>
      <c r="EK214" s="122">
        <v>1.6221602331949914E-7</v>
      </c>
      <c r="EL214" s="122">
        <v>1.7235452477696371E-7</v>
      </c>
      <c r="EM214" s="122">
        <v>3.9043051812366417E-7</v>
      </c>
      <c r="EN214" s="122">
        <v>2.0378339096479639E-3</v>
      </c>
      <c r="EO214" s="122">
        <v>1.6221602331949914E-7</v>
      </c>
      <c r="EP214" s="122">
        <v>1.7235452477696371E-7</v>
      </c>
      <c r="EQ214" s="122">
        <v>3.9043051812366417E-7</v>
      </c>
      <c r="ER214" s="122">
        <v>1.6302671277183709E-3</v>
      </c>
      <c r="ES214" s="122">
        <v>1.2977281865559933E-7</v>
      </c>
      <c r="ET214" s="122">
        <v>1.3788361982157096E-7</v>
      </c>
      <c r="EU214" s="122">
        <v>3.1234441449893134E-7</v>
      </c>
      <c r="EV214" s="122">
        <v>5.7102461303557804E-3</v>
      </c>
      <c r="EW214" s="122">
        <v>6.9881416122631238E-7</v>
      </c>
      <c r="EX214" s="122">
        <v>1.8114752335067751E-6</v>
      </c>
      <c r="EY214" s="122">
        <v>5.7102461303557804E-3</v>
      </c>
      <c r="EZ214" s="122">
        <v>6.9881416122631238E-7</v>
      </c>
      <c r="FA214" s="122">
        <v>1.8114752335067751E-6</v>
      </c>
      <c r="FB214" s="122">
        <v>5.7102461303557804E-3</v>
      </c>
      <c r="FC214" s="122">
        <v>6.9881416122631238E-7</v>
      </c>
      <c r="FD214" s="122">
        <v>1.8114752335067749E-6</v>
      </c>
      <c r="FE214" s="122">
        <v>5.7102461303557804E-3</v>
      </c>
      <c r="FF214" s="122">
        <v>6.9881416122631238E-7</v>
      </c>
      <c r="FG214" s="122">
        <v>1.8114752335067751E-6</v>
      </c>
      <c r="FH214" s="122">
        <v>5.7102461303557804E-3</v>
      </c>
      <c r="FI214" s="122">
        <v>6.9881416122631238E-7</v>
      </c>
      <c r="FJ214" s="122">
        <v>1.8114752335067751E-6</v>
      </c>
    </row>
    <row r="215" spans="1:166" x14ac:dyDescent="0.35">
      <c r="A215" s="122" t="s">
        <v>378</v>
      </c>
      <c r="B215" s="122">
        <v>9.5200860802015872E-3</v>
      </c>
      <c r="C215" s="122">
        <v>1.3112853192392077E-2</v>
      </c>
      <c r="D215" s="122">
        <v>2.5308208213102368E-2</v>
      </c>
      <c r="E215" s="122">
        <v>2.3384150259178393E-2</v>
      </c>
      <c r="F215" s="122">
        <v>4.2605208271648924E-2</v>
      </c>
      <c r="G215" s="122">
        <v>1.1923621340815298E-2</v>
      </c>
      <c r="H215" s="122">
        <v>1.6184810241320298E-2</v>
      </c>
      <c r="I215" s="122">
        <v>3.0361889926939306E-2</v>
      </c>
      <c r="J215" s="122">
        <v>2.8158223539111519E-2</v>
      </c>
      <c r="K215" s="122">
        <v>5.0962010036611514E-2</v>
      </c>
      <c r="L215" s="122">
        <v>1.2446873715522614E-2</v>
      </c>
      <c r="M215" s="122">
        <v>1.7145107631464027E-2</v>
      </c>
      <c r="N215" s="122">
        <v>3.2545411392223937E-2</v>
      </c>
      <c r="O215" s="122">
        <v>3.017467833203151E-2</v>
      </c>
      <c r="P215" s="122">
        <v>5.5350574924043237E-2</v>
      </c>
      <c r="Q215" s="122">
        <v>9.5149512884980057E-3</v>
      </c>
      <c r="R215" s="122">
        <v>1.3107718400688495E-2</v>
      </c>
      <c r="S215" s="122">
        <v>2.5302685648697143E-2</v>
      </c>
      <c r="T215" s="122">
        <v>2.3378711935608899E-2</v>
      </c>
      <c r="U215" s="122">
        <v>4.2599927994180407E-2</v>
      </c>
      <c r="V215" s="122">
        <v>1.6525598641983198E-2</v>
      </c>
      <c r="W215" s="122">
        <v>1.2563860695407415E-2</v>
      </c>
      <c r="X215" s="122">
        <v>1.7382983269092857E-2</v>
      </c>
      <c r="Y215" s="122">
        <v>2.2158198707626319E-2</v>
      </c>
      <c r="Z215" s="122">
        <v>2.4958174940446679E-2</v>
      </c>
      <c r="AA215" s="122">
        <v>1.9015568020583004E-2</v>
      </c>
      <c r="AB215" s="122">
        <v>2.6045934702336116E-2</v>
      </c>
      <c r="AC215" s="122">
        <v>3.3280417021954847E-2</v>
      </c>
      <c r="AD215" s="122">
        <v>2.3698440520381413E-2</v>
      </c>
      <c r="AE215" s="122">
        <v>1.7755833600517742E-2</v>
      </c>
      <c r="AF215" s="122">
        <v>2.4765631166504088E-2</v>
      </c>
      <c r="AG215" s="122">
        <v>3.2010515453221908E-2</v>
      </c>
      <c r="AH215" s="122">
        <v>2.0586081750827739E-2</v>
      </c>
      <c r="AI215" s="122">
        <v>1.7064536909427046E-2</v>
      </c>
      <c r="AJ215" s="122">
        <v>2.1549212351395154E-2</v>
      </c>
      <c r="AK215" s="122">
        <v>2.569855799321023E-2</v>
      </c>
      <c r="AL215" s="122">
        <v>2.4538993245056352E-2</v>
      </c>
      <c r="AM215" s="122">
        <v>1.8596386325192678E-2</v>
      </c>
      <c r="AN215" s="122">
        <v>2.547472718857785E-2</v>
      </c>
      <c r="AO215" s="122">
        <v>3.2765804513258147E-2</v>
      </c>
      <c r="AP215" s="122">
        <v>0.1672338260026543</v>
      </c>
      <c r="AQ215" s="122">
        <v>0.21662271563235388</v>
      </c>
      <c r="AR215" s="122">
        <v>0.24954022503092854</v>
      </c>
      <c r="AS215" s="122">
        <v>8.6281929382968151E-2</v>
      </c>
      <c r="AT215" s="122">
        <v>0.1055321404386684</v>
      </c>
      <c r="AU215" s="122">
        <v>0.1307385591255065</v>
      </c>
      <c r="AV215" s="122">
        <v>9.0826747661793536E-2</v>
      </c>
      <c r="AW215" s="122">
        <v>0.11166410783052493</v>
      </c>
      <c r="AX215" s="122">
        <v>0.13834322718558134</v>
      </c>
      <c r="AY215" s="122">
        <v>0.1148105606909119</v>
      </c>
      <c r="AZ215" s="122">
        <v>0.14534941969578566</v>
      </c>
      <c r="BA215" s="122">
        <v>0.17310617938076589</v>
      </c>
      <c r="BB215" s="122">
        <v>9.636306384693992E-2</v>
      </c>
      <c r="BC215" s="122">
        <v>0.12279685810117737</v>
      </c>
      <c r="BD215" s="122">
        <v>0.14872539221197675</v>
      </c>
      <c r="BE215" s="122">
        <v>1.2617604334597611E-2</v>
      </c>
      <c r="BF215" s="122">
        <v>1.5634007315244555E-2</v>
      </c>
      <c r="BG215" s="122">
        <v>2.2245823595995706E-2</v>
      </c>
      <c r="BH215" s="122">
        <v>2.1762753546898383E-2</v>
      </c>
      <c r="BI215" s="122">
        <v>3.006275220417608E-2</v>
      </c>
      <c r="BJ215" s="122">
        <v>1.5597422061145463E-2</v>
      </c>
      <c r="BK215" s="122">
        <v>1.9175016294005795E-2</v>
      </c>
      <c r="BL215" s="122">
        <v>2.677502842147499E-2</v>
      </c>
      <c r="BM215" s="122">
        <v>2.6254553905921209E-2</v>
      </c>
      <c r="BN215" s="122">
        <v>3.6150367390273573E-2</v>
      </c>
      <c r="BO215" s="122">
        <v>1.6497474509732796E-2</v>
      </c>
      <c r="BP215" s="122">
        <v>2.044200148442496E-2</v>
      </c>
      <c r="BQ215" s="122">
        <v>2.8617302840918755E-2</v>
      </c>
      <c r="BR215" s="122">
        <v>2.8087250574746401E-2</v>
      </c>
      <c r="BS215" s="122">
        <v>3.9055233360755059E-2</v>
      </c>
      <c r="BT215" s="122">
        <v>1.2612469542894028E-2</v>
      </c>
      <c r="BU215" s="122">
        <v>1.5628872523540973E-2</v>
      </c>
      <c r="BV215" s="122">
        <v>2.2240310015673018E-2</v>
      </c>
      <c r="BW215" s="122">
        <v>2.1757319527493348E-2</v>
      </c>
      <c r="BX215" s="122">
        <v>3.0057471926707564E-2</v>
      </c>
      <c r="BY215" s="122">
        <v>1.8038142872241543E-2</v>
      </c>
      <c r="BZ215" s="122">
        <v>1.2741413970004728E-2</v>
      </c>
      <c r="CA215" s="122">
        <v>1.6039454868006207E-2</v>
      </c>
      <c r="CB215" s="122">
        <v>1.8517831528956131E-2</v>
      </c>
      <c r="CC215" s="122">
        <v>2.7226991285834196E-2</v>
      </c>
      <c r="CD215" s="122">
        <v>1.9281897932478972E-2</v>
      </c>
      <c r="CE215" s="122">
        <v>2.4085733774821028E-2</v>
      </c>
      <c r="CF215" s="122">
        <v>2.7840802945128119E-2</v>
      </c>
      <c r="CG215" s="122">
        <v>2.5967256865768937E-2</v>
      </c>
      <c r="CH215" s="122">
        <v>1.8022163512413716E-2</v>
      </c>
      <c r="CI215" s="122">
        <v>2.2809972042997777E-2</v>
      </c>
      <c r="CJ215" s="122">
        <v>2.6570901376395187E-2</v>
      </c>
      <c r="CK215" s="122">
        <v>2.1930565511057376E-2</v>
      </c>
      <c r="CL215" s="122">
        <v>1.7222362042402437E-2</v>
      </c>
      <c r="CM215" s="122">
        <v>2.0308068745663804E-2</v>
      </c>
      <c r="CN215" s="122">
        <v>2.2458023458574828E-2</v>
      </c>
      <c r="CO215" s="122">
        <v>2.6807809590443873E-2</v>
      </c>
      <c r="CP215" s="122">
        <v>1.8862716237088656E-2</v>
      </c>
      <c r="CQ215" s="122">
        <v>2.3556631563132955E-2</v>
      </c>
      <c r="CR215" s="122">
        <v>2.7341361951778196E-2</v>
      </c>
      <c r="CS215" s="122">
        <v>0.17274392702679348</v>
      </c>
      <c r="CT215" s="122">
        <v>0.17637305896314012</v>
      </c>
      <c r="CU215" s="122">
        <v>0.19808737448078806</v>
      </c>
      <c r="CV215" s="122">
        <v>9.0361859006180878E-2</v>
      </c>
      <c r="CW215" s="122">
        <v>8.6476513144647896E-2</v>
      </c>
      <c r="CX215" s="122">
        <v>0.10294950726229327</v>
      </c>
      <c r="CY215" s="122">
        <v>9.5120905716967519E-2</v>
      </c>
      <c r="CZ215" s="122">
        <v>9.1061634479051176E-2</v>
      </c>
      <c r="DA215" s="122">
        <v>0.10857669455472269</v>
      </c>
      <c r="DB215" s="122">
        <v>0.11938527094300132</v>
      </c>
      <c r="DC215" s="122">
        <v>0.11805170677615352</v>
      </c>
      <c r="DD215" s="122">
        <v>0.1366824893782318</v>
      </c>
      <c r="DE215" s="122">
        <v>9.8674811212971364E-2</v>
      </c>
      <c r="DF215" s="122">
        <v>9.9840247508119748E-2</v>
      </c>
      <c r="DG215" s="122">
        <v>0.11704370280333506</v>
      </c>
      <c r="DH215" s="122">
        <v>1.2207108015296016E-2</v>
      </c>
      <c r="DI215" s="122">
        <v>1.4963949808301274E-2</v>
      </c>
      <c r="DJ215" s="122">
        <v>1.4427423266160311E-2</v>
      </c>
      <c r="DK215" s="122">
        <v>1.4680642139557521E-2</v>
      </c>
      <c r="DL215" s="122">
        <v>1.8661625184911327E-2</v>
      </c>
      <c r="DM215" s="122">
        <v>1.511055433360171E-2</v>
      </c>
      <c r="DN215" s="122">
        <v>1.8380296925305621E-2</v>
      </c>
      <c r="DO215" s="122">
        <v>1.7627629279211517E-2</v>
      </c>
      <c r="DP215" s="122">
        <v>1.7940485847982818E-2</v>
      </c>
      <c r="DQ215" s="122">
        <v>2.2686543537400187E-2</v>
      </c>
      <c r="DR215" s="122">
        <v>1.5960671630646101E-2</v>
      </c>
      <c r="DS215" s="122">
        <v>1.956577243688374E-2</v>
      </c>
      <c r="DT215" s="122">
        <v>1.8614749983942594E-2</v>
      </c>
      <c r="DU215" s="122">
        <v>1.8974360117488442E-2</v>
      </c>
      <c r="DV215" s="122">
        <v>2.4242723116676006E-2</v>
      </c>
      <c r="DW215" s="122">
        <v>1.2201973223592434E-2</v>
      </c>
      <c r="DX215" s="122">
        <v>1.4958815016597691E-2</v>
      </c>
      <c r="DY215" s="122">
        <v>1.442198351473576E-2</v>
      </c>
      <c r="DZ215" s="122">
        <v>1.4675243880649983E-2</v>
      </c>
      <c r="EA215" s="122">
        <v>1.8656344907442807E-2</v>
      </c>
      <c r="EB215" s="122">
        <v>1.804353811848218E-2</v>
      </c>
      <c r="EC215" s="122">
        <v>1.238749968969511E-2</v>
      </c>
      <c r="ED215" s="122">
        <v>1.3672189349279055E-2</v>
      </c>
      <c r="EE215" s="122">
        <v>1.3380500281297694E-2</v>
      </c>
      <c r="EF215" s="122">
        <v>2.7235084155195155E-2</v>
      </c>
      <c r="EG215" s="122">
        <v>1.8751026512014549E-2</v>
      </c>
      <c r="EH215" s="122">
        <v>2.060003385062751E-2</v>
      </c>
      <c r="EI215" s="122">
        <v>2.016435219152779E-2</v>
      </c>
      <c r="EJ215" s="122">
        <v>2.5975349735129896E-2</v>
      </c>
      <c r="EK215" s="122">
        <v>1.7491292091949287E-2</v>
      </c>
      <c r="EL215" s="122">
        <v>1.9330109241162935E-2</v>
      </c>
      <c r="EM215" s="122">
        <v>1.8894450622794847E-2</v>
      </c>
      <c r="EN215" s="122">
        <v>2.1935361285493504E-2</v>
      </c>
      <c r="EO215" s="122">
        <v>1.6907771571016104E-2</v>
      </c>
      <c r="EP215" s="122">
        <v>1.8144807503062025E-2</v>
      </c>
      <c r="EQ215" s="122">
        <v>1.7884940990014593E-2</v>
      </c>
      <c r="ER215" s="122">
        <v>2.6815902459804832E-2</v>
      </c>
      <c r="ES215" s="122">
        <v>1.8331844816624223E-2</v>
      </c>
      <c r="ET215" s="122">
        <v>2.0120652012122056E-2</v>
      </c>
      <c r="EU215" s="122">
        <v>1.9686321428530995E-2</v>
      </c>
      <c r="EV215" s="122">
        <v>0.17237724993356843</v>
      </c>
      <c r="EW215" s="122">
        <v>0.15970317312618235</v>
      </c>
      <c r="EX215" s="122">
        <v>0.17043649743138359</v>
      </c>
      <c r="EY215" s="122">
        <v>8.9070789633935804E-2</v>
      </c>
      <c r="EZ215" s="122">
        <v>7.8397872011470568E-2</v>
      </c>
      <c r="FA215" s="122">
        <v>8.6220290084405973E-2</v>
      </c>
      <c r="FB215" s="122">
        <v>9.3821912926832174E-2</v>
      </c>
      <c r="FC215" s="122">
        <v>8.248161191592443E-2</v>
      </c>
      <c r="FD215" s="122">
        <v>9.0828515505177593E-2</v>
      </c>
      <c r="FE215" s="122">
        <v>0.11845341609706719</v>
      </c>
      <c r="FF215" s="122">
        <v>0.1072186828545638</v>
      </c>
      <c r="FG215" s="122">
        <v>0.11599801838873916</v>
      </c>
      <c r="FH215" s="122">
        <v>9.7972636105311428E-2</v>
      </c>
      <c r="FI215" s="122">
        <v>9.0488030840708764E-2</v>
      </c>
      <c r="FJ215" s="122">
        <v>9.8617122757418352E-2</v>
      </c>
    </row>
    <row r="216" spans="1:166" x14ac:dyDescent="0.35">
      <c r="A216" s="122" t="s">
        <v>321</v>
      </c>
    </row>
    <row r="217" spans="1:166" x14ac:dyDescent="0.35">
      <c r="A217" s="122" t="s">
        <v>322</v>
      </c>
    </row>
    <row r="219" spans="1:166" x14ac:dyDescent="0.35">
      <c r="A219" s="129" t="s">
        <v>396</v>
      </c>
    </row>
    <row r="220" spans="1:166" x14ac:dyDescent="0.35">
      <c r="C220" s="122" t="s">
        <v>18</v>
      </c>
      <c r="D220" s="122" t="s">
        <v>28</v>
      </c>
      <c r="E220" s="122" t="s">
        <v>14</v>
      </c>
      <c r="F220" s="122" t="s">
        <v>25</v>
      </c>
      <c r="G220" s="122" t="s">
        <v>37</v>
      </c>
      <c r="H220" s="122" t="s">
        <v>52</v>
      </c>
      <c r="I220" s="122" t="s">
        <v>260</v>
      </c>
      <c r="J220" s="122" t="s">
        <v>67</v>
      </c>
      <c r="K220" s="122" t="s">
        <v>56</v>
      </c>
      <c r="L220" s="122" t="s">
        <v>73</v>
      </c>
      <c r="M220" s="122" t="s">
        <v>204</v>
      </c>
      <c r="N220" s="122" t="s">
        <v>378</v>
      </c>
      <c r="O220" s="122" t="s">
        <v>321</v>
      </c>
      <c r="P220" s="122" t="s">
        <v>322</v>
      </c>
      <c r="AI220" s="122" t="s">
        <v>321</v>
      </c>
      <c r="AJ220" s="122" t="s">
        <v>322</v>
      </c>
    </row>
    <row r="221" spans="1:166" x14ac:dyDescent="0.35">
      <c r="A221" s="123" t="s">
        <v>379</v>
      </c>
      <c r="B221" s="122" t="s">
        <v>380</v>
      </c>
      <c r="C221" s="122" t="s">
        <v>381</v>
      </c>
      <c r="D221" s="122" t="s">
        <v>382</v>
      </c>
      <c r="E221" s="122" t="s">
        <v>383</v>
      </c>
      <c r="F221" s="122" t="s">
        <v>384</v>
      </c>
      <c r="G221" s="122" t="s">
        <v>385</v>
      </c>
      <c r="H221" s="122" t="s">
        <v>386</v>
      </c>
      <c r="I221" s="122" t="s">
        <v>387</v>
      </c>
      <c r="J221" s="122" t="s">
        <v>388</v>
      </c>
      <c r="K221" s="122" t="s">
        <v>389</v>
      </c>
      <c r="L221" s="122" t="s">
        <v>390</v>
      </c>
      <c r="M221" s="122" t="s">
        <v>391</v>
      </c>
      <c r="N221" s="122" t="s">
        <v>392</v>
      </c>
    </row>
    <row r="222" spans="1:166" x14ac:dyDescent="0.35">
      <c r="B222" s="122" t="s">
        <v>377</v>
      </c>
      <c r="C222" s="122">
        <v>1.0347449498978036E-3</v>
      </c>
      <c r="D222" s="122">
        <v>-1.0336086682377807E-4</v>
      </c>
      <c r="E222" s="122">
        <v>6.8982996659853576E-5</v>
      </c>
      <c r="F222" s="122">
        <v>-6.8982996659853564E-6</v>
      </c>
      <c r="G222" s="122">
        <v>1.0654632223259673E-3</v>
      </c>
      <c r="H222" s="122">
        <v>4.305425874053325E-4</v>
      </c>
      <c r="I222" s="122">
        <v>8.6011184229469056E-5</v>
      </c>
      <c r="J222" s="122">
        <v>2.0608228308229173E-3</v>
      </c>
      <c r="K222" s="122">
        <v>3.049199324105592E-3</v>
      </c>
      <c r="L222" s="122">
        <v>0</v>
      </c>
      <c r="M222" s="122">
        <v>1.829443359540834E-3</v>
      </c>
      <c r="N222" s="122">
        <v>9.5149512884980057E-3</v>
      </c>
    </row>
    <row r="223" spans="1:166" x14ac:dyDescent="0.35">
      <c r="A223" s="122">
        <v>2023</v>
      </c>
      <c r="B223" s="122" t="s">
        <v>374</v>
      </c>
      <c r="C223" s="122">
        <v>1.0347449498978036E-3</v>
      </c>
      <c r="D223" s="122">
        <v>-1.0336086682377807E-4</v>
      </c>
      <c r="E223" s="122">
        <v>6.8982996659853576E-5</v>
      </c>
      <c r="F223" s="122">
        <v>-6.8982996659853564E-6</v>
      </c>
      <c r="G223" s="122">
        <v>1.0654632223259673E-3</v>
      </c>
      <c r="H223" s="122">
        <v>4.305425874053325E-4</v>
      </c>
      <c r="I223" s="122">
        <v>8.9502842587904882E-5</v>
      </c>
      <c r="J223" s="122">
        <v>2.0608228308229173E-3</v>
      </c>
      <c r="K223" s="122">
        <v>3.0508424574507377E-3</v>
      </c>
      <c r="L223" s="122">
        <v>0</v>
      </c>
      <c r="M223" s="122">
        <v>1.829443359540834E-3</v>
      </c>
      <c r="N223" s="122">
        <v>9.5200860802015872E-3</v>
      </c>
      <c r="BD223" s="122" t="s">
        <v>18</v>
      </c>
      <c r="BE223" s="122" t="s">
        <v>28</v>
      </c>
      <c r="BF223" s="122" t="s">
        <v>14</v>
      </c>
      <c r="BG223" s="122" t="s">
        <v>25</v>
      </c>
      <c r="BH223" s="122" t="s">
        <v>37</v>
      </c>
      <c r="BI223" s="122" t="s">
        <v>52</v>
      </c>
      <c r="BJ223" s="122" t="s">
        <v>260</v>
      </c>
      <c r="BK223" s="122" t="s">
        <v>67</v>
      </c>
      <c r="BL223" s="122" t="s">
        <v>56</v>
      </c>
      <c r="BM223" s="122" t="s">
        <v>73</v>
      </c>
      <c r="BN223" s="122" t="s">
        <v>204</v>
      </c>
      <c r="BO223" s="122" t="s">
        <v>504</v>
      </c>
      <c r="BP223" s="122" t="s">
        <v>505</v>
      </c>
    </row>
    <row r="224" spans="1:166" x14ac:dyDescent="0.35">
      <c r="B224" s="122" t="s">
        <v>375</v>
      </c>
      <c r="C224" s="122">
        <v>1.0347449498978036E-3</v>
      </c>
      <c r="D224" s="122">
        <v>-1.0336086682377807E-4</v>
      </c>
      <c r="E224" s="122">
        <v>3.4491498329926784E-4</v>
      </c>
      <c r="F224" s="122">
        <v>-3.4491498329926788E-5</v>
      </c>
      <c r="G224" s="122">
        <v>1.0654632223259673E-3</v>
      </c>
      <c r="H224" s="122">
        <v>4.305425874053325E-4</v>
      </c>
      <c r="I224" s="122">
        <v>1.7869725535414797E-4</v>
      </c>
      <c r="J224" s="122">
        <v>2.0608228308229173E-3</v>
      </c>
      <c r="K224" s="122">
        <v>5.1168445173227313E-3</v>
      </c>
      <c r="L224" s="122">
        <v>0</v>
      </c>
      <c r="M224" s="122">
        <v>1.829443359540834E-3</v>
      </c>
      <c r="N224" s="122">
        <v>1.1923621340815298E-2</v>
      </c>
      <c r="BB224" s="122">
        <v>2023</v>
      </c>
      <c r="BC224" s="122" t="s">
        <v>375</v>
      </c>
      <c r="BD224" s="122">
        <v>1.0347449498978036E-3</v>
      </c>
      <c r="BE224" s="122">
        <v>-1.0336086682377807E-4</v>
      </c>
      <c r="BF224" s="122">
        <v>3.4491498329926784E-4</v>
      </c>
      <c r="BG224" s="122">
        <v>-3.4491498329926788E-5</v>
      </c>
      <c r="BH224" s="122">
        <v>1.0654632223259673E-3</v>
      </c>
      <c r="BI224" s="122">
        <v>4.305425874053325E-4</v>
      </c>
      <c r="BJ224" s="122">
        <v>1.7869725535414797E-4</v>
      </c>
      <c r="BK224" s="122">
        <v>2.0608228308229173E-3</v>
      </c>
      <c r="BL224" s="122">
        <v>5.1168445173227313E-3</v>
      </c>
      <c r="BM224" s="122">
        <v>0</v>
      </c>
      <c r="BN224" s="122">
        <v>1.829443359540834E-3</v>
      </c>
      <c r="BO224" s="122">
        <v>1.1923621340815298E-2</v>
      </c>
    </row>
    <row r="225" spans="2:67" x14ac:dyDescent="0.35">
      <c r="B225" s="122" t="s">
        <v>376</v>
      </c>
      <c r="C225" s="122">
        <v>1.0347449498978036E-3</v>
      </c>
      <c r="D225" s="122">
        <v>-1.0336086682377807E-4</v>
      </c>
      <c r="E225" s="122">
        <v>6.8982996659853576E-5</v>
      </c>
      <c r="F225" s="122">
        <v>-6.8982996659853564E-6</v>
      </c>
      <c r="G225" s="122">
        <v>1.0654632223259673E-3</v>
      </c>
      <c r="H225" s="122">
        <v>4.305425874053325E-4</v>
      </c>
      <c r="I225" s="122">
        <v>8.6011184229469056E-5</v>
      </c>
      <c r="J225" s="122">
        <v>2.0608228308229173E-3</v>
      </c>
      <c r="K225" s="122">
        <v>5.9811217511302004E-3</v>
      </c>
      <c r="L225" s="122">
        <v>0</v>
      </c>
      <c r="M225" s="122">
        <v>1.829443359540834E-3</v>
      </c>
      <c r="N225" s="122">
        <v>1.2446873715522614E-2</v>
      </c>
      <c r="BC225" s="122" t="s">
        <v>371</v>
      </c>
      <c r="BD225" s="122">
        <v>1.0347449498978036E-3</v>
      </c>
      <c r="BE225" s="122">
        <v>-1.0336086682377807E-4</v>
      </c>
      <c r="BF225" s="122">
        <v>3.4491498329926784E-4</v>
      </c>
      <c r="BG225" s="122">
        <v>-3.4491498329926788E-5</v>
      </c>
      <c r="BH225" s="122">
        <v>1.0654632223259673E-3</v>
      </c>
      <c r="BI225" s="122">
        <v>4.305425874053325E-4</v>
      </c>
      <c r="BJ225" s="122">
        <v>1.7869725535414797E-4</v>
      </c>
      <c r="BK225" s="122">
        <v>4.5972662777521807E-3</v>
      </c>
      <c r="BL225" s="122">
        <v>6.934951781538197E-3</v>
      </c>
      <c r="BM225" s="122">
        <v>0</v>
      </c>
      <c r="BN225" s="122">
        <v>1.7360815489011045E-3</v>
      </c>
      <c r="BO225" s="122">
        <v>1.6184810241320298E-2</v>
      </c>
    </row>
    <row r="226" spans="2:67" x14ac:dyDescent="0.35">
      <c r="B226" s="122" t="s">
        <v>336</v>
      </c>
      <c r="C226" s="122">
        <v>1.0902430594344164E-3</v>
      </c>
      <c r="D226" s="122">
        <v>-1.6353645891516245E-4</v>
      </c>
      <c r="E226" s="122">
        <v>7.6311881817276459E-4</v>
      </c>
      <c r="F226" s="122">
        <v>-3.8155940908638231E-5</v>
      </c>
      <c r="G226" s="122">
        <v>1.6256502601040416E-3</v>
      </c>
      <c r="H226" s="122">
        <v>1.6256502601040416E-3</v>
      </c>
      <c r="I226" s="122">
        <v>1.7507002801120447E-3</v>
      </c>
      <c r="J226" s="122">
        <v>1.3290239431595586E-3</v>
      </c>
      <c r="K226" s="122">
        <v>4.5504621278008878E-3</v>
      </c>
      <c r="L226" s="122">
        <v>0</v>
      </c>
      <c r="M226" s="122">
        <v>3.070434634345955E-5</v>
      </c>
      <c r="N226" s="122">
        <v>1.2563860695407415E-2</v>
      </c>
      <c r="BC226" s="122" t="s">
        <v>327</v>
      </c>
      <c r="BD226" s="122">
        <v>2.0676718491395704E-3</v>
      </c>
      <c r="BE226" s="122">
        <v>-1.0351994625618128E-4</v>
      </c>
      <c r="BF226" s="122">
        <v>3.4491498329926784E-4</v>
      </c>
      <c r="BG226" s="122">
        <v>-3.4491498329926788E-5</v>
      </c>
      <c r="BH226" s="122">
        <v>1.0654632223259673E-3</v>
      </c>
      <c r="BI226" s="122">
        <v>2.9878618113912231E-4</v>
      </c>
      <c r="BJ226" s="122">
        <v>1.7869725535414797E-4</v>
      </c>
      <c r="BK226" s="122">
        <v>1.1281068013309969E-2</v>
      </c>
      <c r="BL226" s="122">
        <v>1.1471848924667526E-2</v>
      </c>
      <c r="BM226" s="122">
        <v>1.3400606185818564E-3</v>
      </c>
      <c r="BN226" s="122">
        <v>2.4772393588019895E-4</v>
      </c>
      <c r="BO226" s="122">
        <v>2.8158223539111519E-2</v>
      </c>
    </row>
    <row r="227" spans="2:67" x14ac:dyDescent="0.35">
      <c r="B227" s="122" t="s">
        <v>373</v>
      </c>
      <c r="C227" s="122">
        <v>1.0347449498978036E-3</v>
      </c>
      <c r="D227" s="122">
        <v>-1.0336086682377807E-4</v>
      </c>
      <c r="E227" s="122">
        <v>6.8982996659853576E-5</v>
      </c>
      <c r="F227" s="122">
        <v>-6.8982996659853564E-6</v>
      </c>
      <c r="G227" s="122">
        <v>1.0654632223259673E-3</v>
      </c>
      <c r="H227" s="122">
        <v>4.305425874053325E-4</v>
      </c>
      <c r="I227" s="122">
        <v>8.6011184229469056E-5</v>
      </c>
      <c r="J227" s="122">
        <v>4.5972662777521807E-3</v>
      </c>
      <c r="K227" s="122">
        <v>4.1988848000065488E-3</v>
      </c>
      <c r="L227" s="122">
        <v>0</v>
      </c>
      <c r="M227" s="122">
        <v>1.7360815489011045E-3</v>
      </c>
      <c r="N227" s="122">
        <v>1.3107718400688495E-2</v>
      </c>
      <c r="BC227" s="122" t="s">
        <v>326</v>
      </c>
      <c r="BD227" s="122">
        <v>2.0678991054715748E-3</v>
      </c>
      <c r="BE227" s="122">
        <v>-1.0354267188938173E-4</v>
      </c>
      <c r="BF227" s="122">
        <v>3.4491498329926784E-4</v>
      </c>
      <c r="BG227" s="122">
        <v>-3.4491498329926788E-5</v>
      </c>
      <c r="BH227" s="122">
        <v>1.0654632223259673E-3</v>
      </c>
      <c r="BI227" s="122">
        <v>2.9878618113912231E-4</v>
      </c>
      <c r="BJ227" s="122">
        <v>1.7869725535414797E-4</v>
      </c>
      <c r="BK227" s="122">
        <v>1.2272875676237464E-2</v>
      </c>
      <c r="BL227" s="122">
        <v>1.2206612204370044E-2</v>
      </c>
      <c r="BM227" s="122">
        <v>1.8216255696068655E-3</v>
      </c>
      <c r="BN227" s="122">
        <v>2.4304989935415751E-4</v>
      </c>
      <c r="BO227" s="122">
        <v>3.0361889926939306E-2</v>
      </c>
    </row>
    <row r="228" spans="2:67" x14ac:dyDescent="0.35">
      <c r="B228" s="122" t="s">
        <v>370</v>
      </c>
      <c r="C228" s="122">
        <v>1.0347449498978036E-3</v>
      </c>
      <c r="D228" s="122">
        <v>-1.0336086682377807E-4</v>
      </c>
      <c r="E228" s="122">
        <v>6.8982996659853576E-5</v>
      </c>
      <c r="F228" s="122">
        <v>-6.8982996659853564E-6</v>
      </c>
      <c r="G228" s="122">
        <v>1.0654632223259673E-3</v>
      </c>
      <c r="H228" s="122">
        <v>4.305425874053325E-4</v>
      </c>
      <c r="I228" s="122">
        <v>8.9502842587904882E-5</v>
      </c>
      <c r="J228" s="122">
        <v>4.5972662777521807E-3</v>
      </c>
      <c r="K228" s="122">
        <v>4.2005279333516936E-3</v>
      </c>
      <c r="L228" s="122">
        <v>0</v>
      </c>
      <c r="M228" s="122">
        <v>1.7360815489011045E-3</v>
      </c>
      <c r="N228" s="122">
        <v>1.3112853192392077E-2</v>
      </c>
      <c r="R228" s="122" t="s">
        <v>18</v>
      </c>
      <c r="S228" s="122" t="s">
        <v>28</v>
      </c>
      <c r="T228" s="122" t="s">
        <v>14</v>
      </c>
      <c r="U228" s="122" t="s">
        <v>25</v>
      </c>
      <c r="V228" s="122" t="s">
        <v>37</v>
      </c>
      <c r="W228" s="122" t="s">
        <v>52</v>
      </c>
      <c r="X228" s="122" t="s">
        <v>260</v>
      </c>
      <c r="Y228" s="122" t="s">
        <v>67</v>
      </c>
      <c r="Z228" s="122" t="s">
        <v>56</v>
      </c>
      <c r="AA228" s="122" t="s">
        <v>73</v>
      </c>
      <c r="AB228" s="122" t="s">
        <v>204</v>
      </c>
      <c r="AC228" s="122" t="s">
        <v>505</v>
      </c>
      <c r="BC228" s="122" t="s">
        <v>328</v>
      </c>
      <c r="BD228" s="122">
        <v>1.3444866658711308E-3</v>
      </c>
      <c r="BE228" s="122">
        <v>-6.7337961459558828E-5</v>
      </c>
      <c r="BF228" s="122">
        <v>3.4491498329926784E-4</v>
      </c>
      <c r="BG228" s="122">
        <v>-3.4491498329926788E-5</v>
      </c>
      <c r="BH228" s="122">
        <v>1.0654632223259673E-3</v>
      </c>
      <c r="BI228" s="122">
        <v>4.305425874053325E-4</v>
      </c>
      <c r="BJ228" s="122">
        <v>1.7869725535414797E-4</v>
      </c>
      <c r="BK228" s="122">
        <v>2.4929435480202329E-2</v>
      </c>
      <c r="BL228" s="122">
        <v>2.1265221188037118E-2</v>
      </c>
      <c r="BM228" s="122">
        <v>1.1906308738093702E-3</v>
      </c>
      <c r="BN228" s="122">
        <v>3.1444724009633705E-4</v>
      </c>
      <c r="BO228" s="122">
        <v>5.0962010036611514E-2</v>
      </c>
    </row>
    <row r="229" spans="2:67" x14ac:dyDescent="0.35">
      <c r="B229" s="122" t="s">
        <v>371</v>
      </c>
      <c r="C229" s="122">
        <v>1.0347449498978036E-3</v>
      </c>
      <c r="D229" s="122">
        <v>-1.0336086682377807E-4</v>
      </c>
      <c r="E229" s="122">
        <v>3.4491498329926784E-4</v>
      </c>
      <c r="F229" s="122">
        <v>-3.4491498329926788E-5</v>
      </c>
      <c r="G229" s="122">
        <v>1.0654632223259673E-3</v>
      </c>
      <c r="H229" s="122">
        <v>4.305425874053325E-4</v>
      </c>
      <c r="I229" s="122">
        <v>1.7869725535414797E-4</v>
      </c>
      <c r="J229" s="122">
        <v>4.5972662777521807E-3</v>
      </c>
      <c r="K229" s="122">
        <v>6.934951781538197E-3</v>
      </c>
      <c r="L229" s="122">
        <v>0</v>
      </c>
      <c r="M229" s="122">
        <v>1.7360815489011045E-3</v>
      </c>
      <c r="N229" s="122">
        <v>1.6184810241320298E-2</v>
      </c>
      <c r="P229" s="147">
        <v>2023</v>
      </c>
      <c r="Q229" s="122" t="s">
        <v>375</v>
      </c>
      <c r="R229" s="122">
        <v>1.0347449498978036E-3</v>
      </c>
      <c r="S229" s="122">
        <v>-1.0336086682377807E-4</v>
      </c>
      <c r="T229" s="122">
        <v>3.4491498329926784E-4</v>
      </c>
      <c r="U229" s="122">
        <v>-3.4491498329926788E-5</v>
      </c>
      <c r="V229" s="122">
        <v>1.0654632223259673E-3</v>
      </c>
      <c r="W229" s="122">
        <v>4.305425874053325E-4</v>
      </c>
      <c r="X229" s="122">
        <v>1.7869725535414797E-4</v>
      </c>
      <c r="Y229" s="122">
        <v>1.9885516794763114E-3</v>
      </c>
      <c r="Z229" s="122">
        <v>5.0630613349252557E-3</v>
      </c>
      <c r="AA229" s="122">
        <v>0</v>
      </c>
      <c r="AB229" s="122">
        <v>1.829443359540834E-3</v>
      </c>
      <c r="AC229" s="122">
        <v>1.1797567007071217E-2</v>
      </c>
      <c r="BB229" s="122">
        <v>2034</v>
      </c>
      <c r="BC229" s="122" t="s">
        <v>375</v>
      </c>
      <c r="BD229" s="122">
        <v>1.0347449498978036E-3</v>
      </c>
      <c r="BE229" s="122">
        <v>-9.7956440009122124E-5</v>
      </c>
      <c r="BF229" s="122">
        <v>3.4491498329926784E-4</v>
      </c>
      <c r="BG229" s="122">
        <v>-3.4491498329926788E-5</v>
      </c>
      <c r="BH229" s="122">
        <v>1.0654632223259673E-3</v>
      </c>
      <c r="BI229" s="122">
        <v>4.305425874053325E-4</v>
      </c>
      <c r="BJ229" s="122">
        <v>1.7869725535414797E-4</v>
      </c>
      <c r="BK229" s="122">
        <v>1.838708050759685E-3</v>
      </c>
      <c r="BL229" s="122">
        <v>6.6843328246636025E-3</v>
      </c>
      <c r="BM229" s="122">
        <v>0</v>
      </c>
      <c r="BN229" s="122">
        <v>4.1524661257787056E-3</v>
      </c>
      <c r="BO229" s="122">
        <v>1.5597422061145463E-2</v>
      </c>
    </row>
    <row r="230" spans="2:67" x14ac:dyDescent="0.35">
      <c r="B230" s="122" t="s">
        <v>335</v>
      </c>
      <c r="C230" s="122">
        <v>7.6317014160409149E-4</v>
      </c>
      <c r="D230" s="122">
        <v>-1.1346797345547289E-4</v>
      </c>
      <c r="E230" s="122">
        <v>7.6311881817276459E-4</v>
      </c>
      <c r="F230" s="122">
        <v>-3.8155940908638231E-5</v>
      </c>
      <c r="G230" s="122">
        <v>1.6256502601040416E-3</v>
      </c>
      <c r="H230" s="122">
        <v>2.6260504201680674E-3</v>
      </c>
      <c r="I230" s="122">
        <v>1.7507002801120447E-3</v>
      </c>
      <c r="J230" s="122">
        <v>2.3018816718401642E-3</v>
      </c>
      <c r="K230" s="122">
        <v>5.9766877885681705E-3</v>
      </c>
      <c r="L230" s="122">
        <v>0</v>
      </c>
      <c r="M230" s="122">
        <v>8.6996317577796474E-4</v>
      </c>
      <c r="N230" s="122">
        <v>1.6525598641983198E-2</v>
      </c>
      <c r="P230" s="147"/>
      <c r="Q230" s="122" t="s">
        <v>371</v>
      </c>
      <c r="R230" s="122">
        <v>1.0347449498978036E-3</v>
      </c>
      <c r="S230" s="122">
        <v>-1.0336086682377807E-4</v>
      </c>
      <c r="T230" s="122">
        <v>3.4491498329926784E-4</v>
      </c>
      <c r="U230" s="122">
        <v>-3.4491498329926788E-5</v>
      </c>
      <c r="V230" s="122">
        <v>1.0654632223259673E-3</v>
      </c>
      <c r="W230" s="122">
        <v>4.305425874053325E-4</v>
      </c>
      <c r="X230" s="122">
        <v>1.7869725535414797E-4</v>
      </c>
      <c r="Y230" s="122">
        <v>4.4360443997863777E-3</v>
      </c>
      <c r="Z230" s="122">
        <v>6.8149727095636499E-3</v>
      </c>
      <c r="AA230" s="122">
        <v>0</v>
      </c>
      <c r="AB230" s="122">
        <v>1.7360815489011045E-3</v>
      </c>
      <c r="AC230" s="122">
        <v>1.5903609291379947E-2</v>
      </c>
      <c r="BC230" s="122" t="s">
        <v>371</v>
      </c>
      <c r="BD230" s="122">
        <v>1.0347449498978036E-3</v>
      </c>
      <c r="BE230" s="122">
        <v>-9.7956440009122124E-5</v>
      </c>
      <c r="BF230" s="122">
        <v>3.4491498329926784E-4</v>
      </c>
      <c r="BG230" s="122">
        <v>-3.4491498329926788E-5</v>
      </c>
      <c r="BH230" s="122">
        <v>1.0654632223259673E-3</v>
      </c>
      <c r="BI230" s="122">
        <v>4.305425874053325E-4</v>
      </c>
      <c r="BJ230" s="122">
        <v>1.7869725535414797E-4</v>
      </c>
      <c r="BK230" s="122">
        <v>4.1017744902474345E-3</v>
      </c>
      <c r="BL230" s="122">
        <v>8.2107730306840102E-3</v>
      </c>
      <c r="BM230" s="122">
        <v>0</v>
      </c>
      <c r="BN230" s="122">
        <v>3.9405537131308793E-3</v>
      </c>
      <c r="BO230" s="122">
        <v>1.9175016294005795E-2</v>
      </c>
    </row>
    <row r="231" spans="2:67" x14ac:dyDescent="0.35">
      <c r="B231" s="122" t="s">
        <v>348</v>
      </c>
      <c r="C231" s="122">
        <v>1.0902430594344164E-3</v>
      </c>
      <c r="D231" s="122">
        <v>-1.6353645891516245E-4</v>
      </c>
      <c r="E231" s="122">
        <v>7.6311881817276459E-4</v>
      </c>
      <c r="F231" s="122">
        <v>-3.8155940908638231E-5</v>
      </c>
      <c r="G231" s="122">
        <v>3.6264505802320927E-3</v>
      </c>
      <c r="H231" s="122">
        <v>1.6256502601040416E-3</v>
      </c>
      <c r="I231" s="122">
        <v>4.0016006402561026E-3</v>
      </c>
      <c r="J231" s="122">
        <v>1.3290239431595586E-3</v>
      </c>
      <c r="K231" s="122">
        <v>4.7994376615484082E-3</v>
      </c>
      <c r="L231" s="122">
        <v>0</v>
      </c>
      <c r="M231" s="122">
        <v>3.070434634345955E-5</v>
      </c>
      <c r="N231" s="122">
        <v>1.7064536909427046E-2</v>
      </c>
      <c r="P231" s="147"/>
      <c r="Q231" s="122" t="s">
        <v>344</v>
      </c>
      <c r="R231" s="122">
        <v>1.0902430594344164E-3</v>
      </c>
      <c r="S231" s="122">
        <v>-1.6353645891516245E-4</v>
      </c>
      <c r="T231" s="122">
        <v>5.087458787818432E-4</v>
      </c>
      <c r="U231" s="122">
        <v>-2.5437293939092156E-5</v>
      </c>
      <c r="V231" s="122">
        <v>1.525610244097639E-3</v>
      </c>
      <c r="W231" s="122">
        <v>1.6256502601040416E-3</v>
      </c>
      <c r="X231" s="122">
        <v>1.6256502601040416E-3</v>
      </c>
      <c r="Y231" s="122">
        <v>1.1431958244874703E-3</v>
      </c>
      <c r="Z231" s="122">
        <v>9.9594728268813798E-3</v>
      </c>
      <c r="AA231" s="122">
        <v>0</v>
      </c>
      <c r="AB231" s="122">
        <v>3.070434634345955E-5</v>
      </c>
      <c r="AC231" s="122">
        <v>1.7320298947380037E-2</v>
      </c>
      <c r="BC231" s="122" t="s">
        <v>327</v>
      </c>
      <c r="BD231" s="122">
        <v>1.9812010201050753E-3</v>
      </c>
      <c r="BE231" s="122">
        <v>-1.0568171698204363E-4</v>
      </c>
      <c r="BF231" s="122">
        <v>3.4491498329926784E-4</v>
      </c>
      <c r="BG231" s="122">
        <v>-3.4491498329926788E-5</v>
      </c>
      <c r="BH231" s="122">
        <v>1.0654632223259673E-3</v>
      </c>
      <c r="BI231" s="122">
        <v>2.9878618113912231E-4</v>
      </c>
      <c r="BJ231" s="122">
        <v>1.7869725535414797E-4</v>
      </c>
      <c r="BK231" s="122">
        <v>1.0257993776547255E-2</v>
      </c>
      <c r="BL231" s="122">
        <v>1.0705383345754259E-2</v>
      </c>
      <c r="BM231" s="122">
        <v>1.2327946859695196E-3</v>
      </c>
      <c r="BN231" s="122">
        <v>3.29492650738565E-4</v>
      </c>
      <c r="BO231" s="122">
        <v>2.6254553905921209E-2</v>
      </c>
    </row>
    <row r="232" spans="2:67" x14ac:dyDescent="0.35">
      <c r="B232" s="122" t="s">
        <v>372</v>
      </c>
      <c r="C232" s="122">
        <v>1.0347449498978036E-3</v>
      </c>
      <c r="D232" s="122">
        <v>-1.0336086682377807E-4</v>
      </c>
      <c r="E232" s="122">
        <v>6.8982996659853576E-5</v>
      </c>
      <c r="F232" s="122">
        <v>-6.8982996659853564E-6</v>
      </c>
      <c r="G232" s="122">
        <v>1.0654632223259673E-3</v>
      </c>
      <c r="H232" s="122">
        <v>4.305425874053325E-4</v>
      </c>
      <c r="I232" s="122">
        <v>8.6011184229469056E-5</v>
      </c>
      <c r="J232" s="122">
        <v>4.5972662777521807E-3</v>
      </c>
      <c r="K232" s="122">
        <v>8.23627403078208E-3</v>
      </c>
      <c r="L232" s="122">
        <v>0</v>
      </c>
      <c r="M232" s="122">
        <v>1.7360815489011045E-3</v>
      </c>
      <c r="N232" s="122">
        <v>1.7145107631464027E-2</v>
      </c>
      <c r="P232" s="147"/>
      <c r="Q232" s="122" t="s">
        <v>343</v>
      </c>
      <c r="R232" s="122">
        <v>7.6317014160409149E-4</v>
      </c>
      <c r="S232" s="122">
        <v>-1.1346797345547289E-4</v>
      </c>
      <c r="T232" s="122">
        <v>5.087458787818432E-4</v>
      </c>
      <c r="U232" s="122">
        <v>-2.5437293939092156E-5</v>
      </c>
      <c r="V232" s="122">
        <v>1.525610244097639E-3</v>
      </c>
      <c r="W232" s="122">
        <v>2.6260504201680674E-3</v>
      </c>
      <c r="X232" s="122">
        <v>1.6256502601040416E-3</v>
      </c>
      <c r="Y232" s="122">
        <v>2.2211568098096379E-3</v>
      </c>
      <c r="Z232" s="122">
        <v>1.350779996204865E-2</v>
      </c>
      <c r="AA232" s="122">
        <v>0</v>
      </c>
      <c r="AB232" s="122">
        <v>8.6996317577796474E-4</v>
      </c>
      <c r="AC232" s="122">
        <v>2.3509241624997367E-2</v>
      </c>
      <c r="BC232" s="122" t="s">
        <v>326</v>
      </c>
      <c r="BD232" s="122">
        <v>1.9922371300663917E-3</v>
      </c>
      <c r="BE232" s="122">
        <v>-1.067853279781753E-4</v>
      </c>
      <c r="BF232" s="122">
        <v>3.4491498329926784E-4</v>
      </c>
      <c r="BG232" s="122">
        <v>-3.4491498329926788E-5</v>
      </c>
      <c r="BH232" s="122">
        <v>1.0654632223259673E-3</v>
      </c>
      <c r="BI232" s="122">
        <v>2.9878618113912231E-4</v>
      </c>
      <c r="BJ232" s="122">
        <v>1.7869725535414797E-4</v>
      </c>
      <c r="BK232" s="122">
        <v>1.0358284649412651E-2</v>
      </c>
      <c r="BL232" s="122">
        <v>1.0782783553652911E-2</v>
      </c>
      <c r="BM232" s="122">
        <v>1.5718624642608366E-3</v>
      </c>
      <c r="BN232" s="122">
        <v>3.2327580827179973E-4</v>
      </c>
      <c r="BO232" s="122">
        <v>2.677502842147499E-2</v>
      </c>
    </row>
    <row r="233" spans="2:67" x14ac:dyDescent="0.35">
      <c r="B233" s="122" t="s">
        <v>337</v>
      </c>
      <c r="C233" s="122">
        <v>2.1696909640280381E-3</v>
      </c>
      <c r="D233" s="122">
        <v>-1.1028374067486764E-4</v>
      </c>
      <c r="E233" s="122">
        <v>7.6311881817276459E-4</v>
      </c>
      <c r="F233" s="122">
        <v>-3.8155940908638231E-5</v>
      </c>
      <c r="G233" s="122">
        <v>1.6256502601040416E-3</v>
      </c>
      <c r="H233" s="122">
        <v>3.235203975384487E-3</v>
      </c>
      <c r="I233" s="122">
        <v>1.7507002801120447E-3</v>
      </c>
      <c r="J233" s="122">
        <v>1.4120879396070311E-3</v>
      </c>
      <c r="K233" s="122">
        <v>6.1407831406680592E-3</v>
      </c>
      <c r="L233" s="122">
        <v>4.0156420460996621E-4</v>
      </c>
      <c r="M233" s="122">
        <v>3.2623367989925765E-5</v>
      </c>
      <c r="N233" s="122">
        <v>1.7382983269092857E-2</v>
      </c>
      <c r="P233" s="147"/>
      <c r="Q233" s="122" t="s">
        <v>345</v>
      </c>
      <c r="R233" s="122">
        <v>2.1696909640280381E-3</v>
      </c>
      <c r="S233" s="122">
        <v>-1.1028374067486764E-4</v>
      </c>
      <c r="T233" s="122">
        <v>5.087458787818432E-4</v>
      </c>
      <c r="U233" s="122">
        <v>-2.5437293939092156E-5</v>
      </c>
      <c r="V233" s="122">
        <v>1.525610244097639E-3</v>
      </c>
      <c r="W233" s="122">
        <v>3.235203975384487E-3</v>
      </c>
      <c r="X233" s="122">
        <v>1.6256502601040416E-3</v>
      </c>
      <c r="Y233" s="122">
        <v>1.2146455635179375E-3</v>
      </c>
      <c r="Z233" s="122">
        <v>1.3742966365882183E-2</v>
      </c>
      <c r="AA233" s="122">
        <v>3.7619737888599722E-4</v>
      </c>
      <c r="AB233" s="122">
        <v>3.2623367989925765E-5</v>
      </c>
      <c r="AC233" s="122">
        <v>2.4295612964058133E-2</v>
      </c>
      <c r="BC233" s="122" t="s">
        <v>328</v>
      </c>
      <c r="BD233" s="122">
        <v>1.3120601049831952E-3</v>
      </c>
      <c r="BE233" s="122">
        <v>-7.1121060229817985E-5</v>
      </c>
      <c r="BF233" s="122">
        <v>3.4491498329926784E-4</v>
      </c>
      <c r="BG233" s="122">
        <v>-3.4491498329926788E-5</v>
      </c>
      <c r="BH233" s="122">
        <v>1.0654632223259673E-3</v>
      </c>
      <c r="BI233" s="122">
        <v>4.305425874053325E-4</v>
      </c>
      <c r="BJ233" s="122">
        <v>1.7869725535414797E-4</v>
      </c>
      <c r="BK233" s="122">
        <v>1.6567975451505536E-2</v>
      </c>
      <c r="BL233" s="122">
        <v>1.5093033693524077E-2</v>
      </c>
      <c r="BM233" s="122">
        <v>8.4505266773637205E-4</v>
      </c>
      <c r="BN233" s="122">
        <v>4.1823998269942579E-4</v>
      </c>
      <c r="BO233" s="122">
        <v>3.6150367390273573E-2</v>
      </c>
    </row>
    <row r="234" spans="2:67" x14ac:dyDescent="0.35">
      <c r="B234" s="122" t="s">
        <v>344</v>
      </c>
      <c r="C234" s="122">
        <v>1.0902430594344164E-3</v>
      </c>
      <c r="D234" s="122">
        <v>-1.6353645891516245E-4</v>
      </c>
      <c r="E234" s="122">
        <v>5.087458787818432E-4</v>
      </c>
      <c r="F234" s="122">
        <v>-2.5437293939092156E-5</v>
      </c>
      <c r="G234" s="122">
        <v>1.525610244097639E-3</v>
      </c>
      <c r="H234" s="122">
        <v>1.6256502601040416E-3</v>
      </c>
      <c r="I234" s="122">
        <v>1.6256502601040416E-3</v>
      </c>
      <c r="J234" s="122">
        <v>1.3290239431595586E-3</v>
      </c>
      <c r="K234" s="122">
        <v>1.0209179361346996E-2</v>
      </c>
      <c r="L234" s="122">
        <v>0</v>
      </c>
      <c r="M234" s="122">
        <v>3.070434634345955E-5</v>
      </c>
      <c r="N234" s="122">
        <v>1.7755833600517742E-2</v>
      </c>
      <c r="P234" s="147"/>
      <c r="Q234" s="122" t="s">
        <v>327</v>
      </c>
      <c r="R234" s="122">
        <v>2.0676718491395704E-3</v>
      </c>
      <c r="S234" s="122">
        <v>-1.0351994625618128E-4</v>
      </c>
      <c r="T234" s="122">
        <v>3.4491498329926784E-4</v>
      </c>
      <c r="U234" s="122">
        <v>-3.4491498329926788E-5</v>
      </c>
      <c r="V234" s="122">
        <v>1.0654632223259673E-3</v>
      </c>
      <c r="W234" s="122">
        <v>2.9878618113912231E-4</v>
      </c>
      <c r="X234" s="122">
        <v>1.7869725535414797E-4</v>
      </c>
      <c r="Y234" s="122">
        <v>9.8428104466493447E-3</v>
      </c>
      <c r="Z234" s="122">
        <v>1.0401517712268922E-2</v>
      </c>
      <c r="AA234" s="122">
        <v>1.2150320625057571E-3</v>
      </c>
      <c r="AB234" s="122">
        <v>2.4772393588019895E-4</v>
      </c>
      <c r="AC234" s="122">
        <v>2.5524606203976188E-2</v>
      </c>
      <c r="BB234" s="122">
        <v>2050</v>
      </c>
      <c r="BC234" s="122" t="s">
        <v>375</v>
      </c>
      <c r="BD234" s="122">
        <v>1.0347449498978036E-3</v>
      </c>
      <c r="BE234" s="122">
        <v>-5.2575506979843073E-5</v>
      </c>
      <c r="BF234" s="122">
        <v>3.4491498329926784E-4</v>
      </c>
      <c r="BG234" s="122">
        <v>-3.4491498329926788E-5</v>
      </c>
      <c r="BH234" s="122">
        <v>1.0654632223259673E-3</v>
      </c>
      <c r="BI234" s="122">
        <v>4.305425874053325E-4</v>
      </c>
      <c r="BJ234" s="122">
        <v>1.7869725535414797E-4</v>
      </c>
      <c r="BK234" s="122">
        <v>1.6880924837231871E-3</v>
      </c>
      <c r="BL234" s="122">
        <v>6.4766025942449342E-3</v>
      </c>
      <c r="BM234" s="122">
        <v>0</v>
      </c>
      <c r="BN234" s="122">
        <v>3.9785632626608411E-3</v>
      </c>
      <c r="BO234" s="122">
        <v>1.511055433360171E-2</v>
      </c>
    </row>
    <row r="235" spans="2:67" x14ac:dyDescent="0.35">
      <c r="B235" s="122" t="s">
        <v>352</v>
      </c>
      <c r="C235" s="122">
        <v>8.7219444754753307E-4</v>
      </c>
      <c r="D235" s="122">
        <v>-1.3082916713212997E-4</v>
      </c>
      <c r="E235" s="122">
        <v>5.0874587878184309E-4</v>
      </c>
      <c r="F235" s="122">
        <v>-2.5437293939092159E-5</v>
      </c>
      <c r="G235" s="122">
        <v>1.3005202080832333E-3</v>
      </c>
      <c r="H235" s="122">
        <v>1.3005202080832333E-3</v>
      </c>
      <c r="I235" s="122">
        <v>1.4005602240896359E-3</v>
      </c>
      <c r="J235" s="122">
        <v>1.063219154527647E-3</v>
      </c>
      <c r="K235" s="122">
        <v>1.2282329188076008E-2</v>
      </c>
      <c r="L235" s="122">
        <v>0</v>
      </c>
      <c r="M235" s="122">
        <v>2.4563477074767639E-5</v>
      </c>
      <c r="N235" s="122">
        <v>1.8596386325192678E-2</v>
      </c>
      <c r="P235" s="147"/>
      <c r="Q235" s="122" t="s">
        <v>326</v>
      </c>
      <c r="R235" s="122">
        <v>2.0678991054715748E-3</v>
      </c>
      <c r="S235" s="122">
        <v>-1.0354267188938173E-4</v>
      </c>
      <c r="T235" s="122">
        <v>3.4491498329926784E-4</v>
      </c>
      <c r="U235" s="122">
        <v>-3.4491498329926788E-5</v>
      </c>
      <c r="V235" s="122">
        <v>1.0654632223259673E-3</v>
      </c>
      <c r="W235" s="122">
        <v>2.9878618113912231E-4</v>
      </c>
      <c r="X235" s="122">
        <v>1.7869725535414797E-4</v>
      </c>
      <c r="Y235" s="122">
        <v>1.0998500789181229E-2</v>
      </c>
      <c r="Z235" s="122">
        <v>1.1258240195397959E-2</v>
      </c>
      <c r="AA235" s="122">
        <v>1.6800974640097614E-3</v>
      </c>
      <c r="AB235" s="122">
        <v>2.4304989935415751E-4</v>
      </c>
      <c r="AC235" s="122">
        <v>2.7997614925313878E-2</v>
      </c>
      <c r="BC235" s="122" t="s">
        <v>326</v>
      </c>
      <c r="BD235" s="122">
        <v>1.3569040676564852E-3</v>
      </c>
      <c r="BE235" s="122">
        <v>-1.3401388779574273E-4</v>
      </c>
      <c r="BF235" s="122">
        <v>3.4491498329926784E-4</v>
      </c>
      <c r="BG235" s="122">
        <v>-3.4491498329926788E-5</v>
      </c>
      <c r="BH235" s="122">
        <v>1.0654632223259673E-3</v>
      </c>
      <c r="BI235" s="122">
        <v>2.9878618113912231E-4</v>
      </c>
      <c r="BJ235" s="122">
        <v>1.7869725535414797E-4</v>
      </c>
      <c r="BK235" s="122">
        <v>6.5156977611726787E-3</v>
      </c>
      <c r="BL235" s="122">
        <v>7.1904931373954553E-3</v>
      </c>
      <c r="BM235" s="122">
        <v>8.438939851007736E-4</v>
      </c>
      <c r="BN235" s="122">
        <v>1.2840718932885571E-6</v>
      </c>
      <c r="BO235" s="122">
        <v>1.7627629279211517E-2</v>
      </c>
    </row>
    <row r="236" spans="2:67" x14ac:dyDescent="0.35">
      <c r="B236" s="122" t="s">
        <v>340</v>
      </c>
      <c r="C236" s="122">
        <v>1.0902430594344164E-3</v>
      </c>
      <c r="D236" s="122">
        <v>-1.6353645891516245E-4</v>
      </c>
      <c r="E236" s="122">
        <v>1.0174917575636864E-3</v>
      </c>
      <c r="F236" s="122">
        <v>-5.0874587878184312E-5</v>
      </c>
      <c r="G236" s="122">
        <v>1.5506202480992397E-3</v>
      </c>
      <c r="H236" s="122">
        <v>1.6256502601040416E-3</v>
      </c>
      <c r="I236" s="122">
        <v>1.6256502601040416E-3</v>
      </c>
      <c r="J236" s="122">
        <v>1.3290239431595586E-3</v>
      </c>
      <c r="K236" s="122">
        <v>1.0960595192567906E-2</v>
      </c>
      <c r="L236" s="122">
        <v>0</v>
      </c>
      <c r="M236" s="122">
        <v>3.070434634345955E-5</v>
      </c>
      <c r="N236" s="122">
        <v>1.9015568020583004E-2</v>
      </c>
      <c r="P236" s="147"/>
      <c r="Q236" s="122" t="s">
        <v>346</v>
      </c>
      <c r="R236" s="122">
        <v>2.1632138711235615E-3</v>
      </c>
      <c r="S236" s="122">
        <v>-1.0931217673919614E-4</v>
      </c>
      <c r="T236" s="122">
        <v>5.087458787818432E-4</v>
      </c>
      <c r="U236" s="122">
        <v>-2.5437293939092156E-5</v>
      </c>
      <c r="V236" s="122">
        <v>1.525610244097639E-3</v>
      </c>
      <c r="W236" s="122">
        <v>3.4736649752972778E-3</v>
      </c>
      <c r="X236" s="122">
        <v>1.6256502601040416E-3</v>
      </c>
      <c r="Y236" s="122">
        <v>3.8421317513793731E-3</v>
      </c>
      <c r="Z236" s="122">
        <v>1.7642151559470163E-2</v>
      </c>
      <c r="AA236" s="122">
        <v>2.387098731091112E-4</v>
      </c>
      <c r="AB236" s="122">
        <v>7.390092301741751E-5</v>
      </c>
      <c r="AC236" s="122">
        <v>3.0959029865702137E-2</v>
      </c>
      <c r="BC236" s="122" t="s">
        <v>327</v>
      </c>
      <c r="BD236" s="122">
        <v>1.2551060916366106E-3</v>
      </c>
      <c r="BE236" s="122">
        <v>-1.2383409019375524E-4</v>
      </c>
      <c r="BF236" s="122">
        <v>3.4491498329926784E-4</v>
      </c>
      <c r="BG236" s="122">
        <v>-3.4491498329926788E-5</v>
      </c>
      <c r="BH236" s="122">
        <v>1.0654632223259673E-3</v>
      </c>
      <c r="BI236" s="122">
        <v>2.9878618113912231E-4</v>
      </c>
      <c r="BJ236" s="122">
        <v>1.7869725535414797E-4</v>
      </c>
      <c r="BK236" s="122">
        <v>6.8423242323661987E-3</v>
      </c>
      <c r="BL236" s="122">
        <v>7.3654014063933224E-3</v>
      </c>
      <c r="BM236" s="122">
        <v>7.4680929840831821E-4</v>
      </c>
      <c r="BN236" s="122">
        <v>1.3087655835441336E-6</v>
      </c>
      <c r="BO236" s="122">
        <v>1.7940485847982818E-2</v>
      </c>
    </row>
    <row r="237" spans="2:67" x14ac:dyDescent="0.35">
      <c r="B237" s="122" t="s">
        <v>347</v>
      </c>
      <c r="C237" s="122">
        <v>7.6317014160409149E-4</v>
      </c>
      <c r="D237" s="122">
        <v>-1.1346797345547289E-4</v>
      </c>
      <c r="E237" s="122">
        <v>7.6311881817276459E-4</v>
      </c>
      <c r="F237" s="122">
        <v>-3.8155940908638231E-5</v>
      </c>
      <c r="G237" s="122">
        <v>3.6264505802320927E-3</v>
      </c>
      <c r="H237" s="122">
        <v>2.6260504201680674E-3</v>
      </c>
      <c r="I237" s="122">
        <v>4.0016006402561026E-3</v>
      </c>
      <c r="J237" s="122">
        <v>2.3018816718401642E-3</v>
      </c>
      <c r="K237" s="122">
        <v>5.7854702171406033E-3</v>
      </c>
      <c r="L237" s="122">
        <v>0</v>
      </c>
      <c r="M237" s="122">
        <v>8.6996317577796474E-4</v>
      </c>
      <c r="N237" s="122">
        <v>2.0586081750827739E-2</v>
      </c>
      <c r="P237" s="147"/>
      <c r="Q237" s="122" t="s">
        <v>328</v>
      </c>
      <c r="R237" s="122">
        <v>1.3444866658711308E-3</v>
      </c>
      <c r="S237" s="122">
        <v>-6.7337961459558828E-5</v>
      </c>
      <c r="T237" s="122">
        <v>3.4491498329926784E-4</v>
      </c>
      <c r="U237" s="122">
        <v>-3.4491498329926788E-5</v>
      </c>
      <c r="V237" s="122">
        <v>1.0654632223259673E-3</v>
      </c>
      <c r="W237" s="122">
        <v>4.305425874053325E-4</v>
      </c>
      <c r="X237" s="122">
        <v>1.7869725535414797E-4</v>
      </c>
      <c r="Y237" s="122">
        <v>2.3179426482003523E-2</v>
      </c>
      <c r="Z237" s="122">
        <v>1.9962888910307775E-2</v>
      </c>
      <c r="AA237" s="122">
        <v>1.1177138322177524E-3</v>
      </c>
      <c r="AB237" s="122">
        <v>3.1444724009633705E-4</v>
      </c>
      <c r="AC237" s="122">
        <v>4.7836751719091741E-2</v>
      </c>
      <c r="BC237" s="122" t="s">
        <v>371</v>
      </c>
      <c r="BD237" s="122">
        <v>1.0347449498978036E-3</v>
      </c>
      <c r="BE237" s="122">
        <v>-5.2575506979843073E-5</v>
      </c>
      <c r="BF237" s="122">
        <v>3.4491498329926784E-4</v>
      </c>
      <c r="BG237" s="122">
        <v>-3.4491498329926788E-5</v>
      </c>
      <c r="BH237" s="122">
        <v>1.0654632223259673E-3</v>
      </c>
      <c r="BI237" s="122">
        <v>4.305425874053325E-4</v>
      </c>
      <c r="BJ237" s="122">
        <v>1.7869725535414797E-4</v>
      </c>
      <c r="BK237" s="122">
        <v>3.7657825471821881E-3</v>
      </c>
      <c r="BL237" s="122">
        <v>7.8716927667052683E-3</v>
      </c>
      <c r="BM237" s="122">
        <v>0</v>
      </c>
      <c r="BN237" s="122">
        <v>3.7755256184454147E-3</v>
      </c>
      <c r="BO237" s="122">
        <v>1.8380296925305621E-2</v>
      </c>
    </row>
    <row r="238" spans="2:67" x14ac:dyDescent="0.35">
      <c r="B238" s="122" t="s">
        <v>349</v>
      </c>
      <c r="C238" s="122">
        <v>2.1696909640280381E-3</v>
      </c>
      <c r="D238" s="122">
        <v>-1.1028374067486764E-4</v>
      </c>
      <c r="E238" s="122">
        <v>7.6311881817276459E-4</v>
      </c>
      <c r="F238" s="122">
        <v>-3.8155940908638231E-5</v>
      </c>
      <c r="G238" s="122">
        <v>3.6264505802320927E-3</v>
      </c>
      <c r="H238" s="122">
        <v>3.235203975384487E-3</v>
      </c>
      <c r="I238" s="122">
        <v>4.0016006402561026E-3</v>
      </c>
      <c r="J238" s="122">
        <v>1.4120879396070311E-3</v>
      </c>
      <c r="K238" s="122">
        <v>5.8989188556294123E-3</v>
      </c>
      <c r="L238" s="122">
        <v>5.5795689167880726E-4</v>
      </c>
      <c r="M238" s="122">
        <v>3.2623367989925765E-5</v>
      </c>
      <c r="N238" s="122">
        <v>2.1549212351395154E-2</v>
      </c>
      <c r="P238" s="147"/>
      <c r="Q238" s="122" t="s">
        <v>361</v>
      </c>
      <c r="R238" s="122">
        <v>6.4495368251871292E-3</v>
      </c>
      <c r="S238" s="122">
        <v>-1.6030702191455165E-3</v>
      </c>
      <c r="T238" s="122">
        <v>1.552776665375814E-3</v>
      </c>
      <c r="U238" s="122">
        <v>-3.8819416634395349E-4</v>
      </c>
      <c r="V238" s="122">
        <v>2.6666666666666665E-2</v>
      </c>
      <c r="W238" s="122">
        <v>7.619047619047619E-3</v>
      </c>
      <c r="X238" s="122">
        <v>4.4000000000000003E-3</v>
      </c>
      <c r="Y238" s="122">
        <v>7.4999956937941573E-3</v>
      </c>
      <c r="Z238" s="122">
        <v>3.5248037269803176E-2</v>
      </c>
      <c r="AA238" s="122">
        <v>0</v>
      </c>
      <c r="AB238" s="122">
        <v>2.9375323900042061E-3</v>
      </c>
      <c r="AC238" s="122">
        <v>9.0382328744389298E-2</v>
      </c>
      <c r="BC238" s="122" t="s">
        <v>328</v>
      </c>
      <c r="BD238" s="122">
        <v>1.0397745068075209E-3</v>
      </c>
      <c r="BE238" s="122">
        <v>-1.0288771335031333E-4</v>
      </c>
      <c r="BF238" s="122">
        <v>3.4491498329926784E-4</v>
      </c>
      <c r="BG238" s="122">
        <v>-3.4491498329926788E-5</v>
      </c>
      <c r="BH238" s="122">
        <v>1.0654632223259673E-3</v>
      </c>
      <c r="BI238" s="122">
        <v>4.305425874053325E-4</v>
      </c>
      <c r="BJ238" s="122">
        <v>1.7869725535414797E-4</v>
      </c>
      <c r="BK238" s="122">
        <v>9.7494494830798577E-3</v>
      </c>
      <c r="BL238" s="122">
        <v>9.4824983061085784E-3</v>
      </c>
      <c r="BM238" s="122">
        <v>5.3092112911805843E-4</v>
      </c>
      <c r="BN238" s="122">
        <v>1.6612755816924542E-6</v>
      </c>
      <c r="BO238" s="122">
        <v>2.2686543537400187E-2</v>
      </c>
    </row>
    <row r="239" spans="2:67" x14ac:dyDescent="0.35">
      <c r="B239" s="122" t="s">
        <v>338</v>
      </c>
      <c r="C239" s="122">
        <v>2.1632138711235615E-3</v>
      </c>
      <c r="D239" s="122">
        <v>-1.0931217673919614E-4</v>
      </c>
      <c r="E239" s="122">
        <v>7.6311881817276459E-4</v>
      </c>
      <c r="F239" s="122">
        <v>-3.8155940908638231E-5</v>
      </c>
      <c r="G239" s="122">
        <v>1.6256502601040416E-3</v>
      </c>
      <c r="H239" s="122">
        <v>3.4736649752972778E-3</v>
      </c>
      <c r="I239" s="122">
        <v>1.7507002801120447E-3</v>
      </c>
      <c r="J239" s="122">
        <v>4.2873120819145651E-3</v>
      </c>
      <c r="K239" s="122">
        <v>7.9123527978250015E-3</v>
      </c>
      <c r="L239" s="122">
        <v>2.5575281770747436E-4</v>
      </c>
      <c r="M239" s="122">
        <v>7.390092301741751E-5</v>
      </c>
      <c r="N239" s="122">
        <v>2.2158198707626319E-2</v>
      </c>
      <c r="P239" s="147"/>
      <c r="Q239" s="122" t="s">
        <v>362</v>
      </c>
      <c r="R239" s="122">
        <v>2.3691681943378187E-2</v>
      </c>
      <c r="S239" s="122">
        <v>-3.6019223357858176E-3</v>
      </c>
      <c r="T239" s="122">
        <v>1.552776665375814E-3</v>
      </c>
      <c r="U239" s="122">
        <v>-3.8819416634395349E-4</v>
      </c>
      <c r="V239" s="122">
        <v>2.6666666666666665E-2</v>
      </c>
      <c r="W239" s="122">
        <v>5.7142857142857143E-3</v>
      </c>
      <c r="X239" s="122">
        <v>4.4000000000000003E-3</v>
      </c>
      <c r="Y239" s="122">
        <v>4.8598821824262202E-3</v>
      </c>
      <c r="Z239" s="122">
        <v>4.0224158087848919E-2</v>
      </c>
      <c r="AA239" s="122">
        <v>7.0373565939039762E-3</v>
      </c>
      <c r="AB239" s="122">
        <v>1.3227196424206973E-4</v>
      </c>
      <c r="AC239" s="122">
        <v>0.11028896331599779</v>
      </c>
    </row>
    <row r="240" spans="2:67" x14ac:dyDescent="0.35">
      <c r="B240" s="122" t="s">
        <v>333</v>
      </c>
      <c r="C240" s="122">
        <v>2.0676718491395704E-3</v>
      </c>
      <c r="D240" s="122">
        <v>-1.0351994625618128E-4</v>
      </c>
      <c r="E240" s="122">
        <v>6.8982996659853576E-5</v>
      </c>
      <c r="F240" s="122">
        <v>-6.8982996659853564E-6</v>
      </c>
      <c r="G240" s="122">
        <v>1.0654632223259673E-3</v>
      </c>
      <c r="H240" s="122">
        <v>2.9878618113912231E-4</v>
      </c>
      <c r="I240" s="122">
        <v>8.6011184229469056E-5</v>
      </c>
      <c r="J240" s="122">
        <v>1.1281068013309969E-2</v>
      </c>
      <c r="K240" s="122">
        <v>7.0678050522795036E-3</v>
      </c>
      <c r="L240" s="122">
        <v>1.305617746567414E-3</v>
      </c>
      <c r="M240" s="122">
        <v>2.4772393588019895E-4</v>
      </c>
      <c r="N240" s="122">
        <v>2.3378711935608899E-2</v>
      </c>
      <c r="P240" s="147"/>
      <c r="Q240" s="122" t="s">
        <v>363</v>
      </c>
      <c r="R240" s="122">
        <v>2.3374265103106976E-2</v>
      </c>
      <c r="S240" s="122">
        <v>-3.5424872620014453E-3</v>
      </c>
      <c r="T240" s="122">
        <v>1.552776665375814E-3</v>
      </c>
      <c r="U240" s="122">
        <v>-3.8819416634395349E-4</v>
      </c>
      <c r="V240" s="122">
        <v>2.6666666666666665E-2</v>
      </c>
      <c r="W240" s="122">
        <v>9.7882661839723516E-3</v>
      </c>
      <c r="X240" s="122">
        <v>4.4000000000000003E-3</v>
      </c>
      <c r="Y240" s="122">
        <v>1.7662855635614476E-2</v>
      </c>
      <c r="Z240" s="122">
        <v>5.0834109002294334E-2</v>
      </c>
      <c r="AA240" s="122">
        <v>4.2084925011030561E-3</v>
      </c>
      <c r="AB240" s="122">
        <v>3.4287712042257822E-4</v>
      </c>
      <c r="AC240" s="122">
        <v>0.13489962745021084</v>
      </c>
    </row>
    <row r="241" spans="2:68" x14ac:dyDescent="0.35">
      <c r="B241" s="122" t="s">
        <v>324</v>
      </c>
      <c r="C241" s="122">
        <v>2.0676718491395704E-3</v>
      </c>
      <c r="D241" s="122">
        <v>-1.0351994625618128E-4</v>
      </c>
      <c r="E241" s="122">
        <v>6.8982996659853576E-5</v>
      </c>
      <c r="F241" s="122">
        <v>-6.8982996659853564E-6</v>
      </c>
      <c r="G241" s="122">
        <v>1.0654632223259673E-3</v>
      </c>
      <c r="H241" s="122">
        <v>2.9878618113912231E-4</v>
      </c>
      <c r="I241" s="122">
        <v>8.9502842587904882E-5</v>
      </c>
      <c r="J241" s="122">
        <v>1.1281068013309969E-2</v>
      </c>
      <c r="K241" s="122">
        <v>7.0694481856246501E-3</v>
      </c>
      <c r="L241" s="122">
        <v>1.3059212784333231E-3</v>
      </c>
      <c r="M241" s="122">
        <v>2.4772393588019895E-4</v>
      </c>
      <c r="N241" s="122">
        <v>2.3384150259178393E-2</v>
      </c>
      <c r="P241" s="147">
        <v>2034</v>
      </c>
      <c r="Q241" s="122" t="s">
        <v>375</v>
      </c>
      <c r="R241" s="122">
        <v>1.0347449498978036E-3</v>
      </c>
      <c r="S241" s="122">
        <v>-9.7956440009122124E-5</v>
      </c>
      <c r="T241" s="122">
        <v>3.4491498329926784E-4</v>
      </c>
      <c r="U241" s="122">
        <v>-3.4491498329926788E-5</v>
      </c>
      <c r="V241" s="122">
        <v>1.0654632223259673E-3</v>
      </c>
      <c r="W241" s="122">
        <v>4.305425874053325E-4</v>
      </c>
      <c r="X241" s="122">
        <v>1.7869725535414797E-4</v>
      </c>
      <c r="Y241" s="122">
        <v>1.5474706053674888E-3</v>
      </c>
      <c r="Z241" s="122">
        <v>6.4675979815810372E-3</v>
      </c>
      <c r="AA241" s="122">
        <v>0</v>
      </c>
      <c r="AB241" s="122">
        <v>4.1524661257787056E-3</v>
      </c>
      <c r="AC241" s="122">
        <v>1.5089449772670701E-2</v>
      </c>
    </row>
    <row r="242" spans="2:68" x14ac:dyDescent="0.35">
      <c r="B242" s="122" t="s">
        <v>343</v>
      </c>
      <c r="C242" s="122">
        <v>7.6317014160409149E-4</v>
      </c>
      <c r="D242" s="122">
        <v>-1.1346797345547289E-4</v>
      </c>
      <c r="E242" s="122">
        <v>5.087458787818432E-4</v>
      </c>
      <c r="F242" s="122">
        <v>-2.5437293939092156E-5</v>
      </c>
      <c r="G242" s="122">
        <v>1.525610244097639E-3</v>
      </c>
      <c r="H242" s="122">
        <v>2.6260504201680674E-3</v>
      </c>
      <c r="I242" s="122">
        <v>1.6256502601040416E-3</v>
      </c>
      <c r="J242" s="122">
        <v>2.3018816718401642E-3</v>
      </c>
      <c r="K242" s="122">
        <v>1.361627399540217E-2</v>
      </c>
      <c r="L242" s="122">
        <v>0</v>
      </c>
      <c r="M242" s="122">
        <v>8.6996317577796474E-4</v>
      </c>
      <c r="N242" s="122">
        <v>2.3698440520381413E-2</v>
      </c>
      <c r="P242" s="147"/>
      <c r="Q242" s="122" t="s">
        <v>344</v>
      </c>
      <c r="R242" s="122">
        <v>1.0902430594344164E-3</v>
      </c>
      <c r="S242" s="122">
        <v>-1.6353645891516245E-4</v>
      </c>
      <c r="T242" s="122">
        <v>5.087458787818432E-4</v>
      </c>
      <c r="U242" s="122">
        <v>-2.5437293939092156E-5</v>
      </c>
      <c r="V242" s="122">
        <v>1.525610244097639E-3</v>
      </c>
      <c r="W242" s="122">
        <v>1.6256502601040416E-3</v>
      </c>
      <c r="X242" s="122">
        <v>1.6256502601040416E-3</v>
      </c>
      <c r="Y242" s="122">
        <v>1.2598676559575413E-3</v>
      </c>
      <c r="Z242" s="122">
        <v>1.0129869359402252E-2</v>
      </c>
      <c r="AA242" s="122">
        <v>0</v>
      </c>
      <c r="AB242" s="122">
        <v>4.0839236749387171E-5</v>
      </c>
      <c r="AC242" s="122">
        <v>1.7617502201776911E-2</v>
      </c>
    </row>
    <row r="243" spans="2:68" x14ac:dyDescent="0.35">
      <c r="B243" s="122" t="s">
        <v>351</v>
      </c>
      <c r="C243" s="122">
        <v>6.1053611328327313E-4</v>
      </c>
      <c r="D243" s="122">
        <v>-9.0774378764378309E-5</v>
      </c>
      <c r="E243" s="122">
        <v>5.0874587878184309E-4</v>
      </c>
      <c r="F243" s="122">
        <v>-2.5437293939092159E-5</v>
      </c>
      <c r="G243" s="122">
        <v>1.3005202080832333E-3</v>
      </c>
      <c r="H243" s="122">
        <v>2.1008403361344541E-3</v>
      </c>
      <c r="I243" s="122">
        <v>1.4005602240896359E-3</v>
      </c>
      <c r="J243" s="122">
        <v>1.8415053374721312E-3</v>
      </c>
      <c r="K243" s="122">
        <v>1.619652627929288E-2</v>
      </c>
      <c r="L243" s="122">
        <v>0</v>
      </c>
      <c r="M243" s="122">
        <v>6.959705406223717E-4</v>
      </c>
      <c r="N243" s="122">
        <v>2.4538993245056352E-2</v>
      </c>
      <c r="P243" s="147"/>
      <c r="Q243" s="122" t="s">
        <v>371</v>
      </c>
      <c r="R243" s="122">
        <v>1.0347449498978036E-3</v>
      </c>
      <c r="S243" s="122">
        <v>-9.7956440009122124E-5</v>
      </c>
      <c r="T243" s="122">
        <v>3.4491498329926784E-4</v>
      </c>
      <c r="U243" s="122">
        <v>-3.4491498329926788E-5</v>
      </c>
      <c r="V243" s="122">
        <v>1.0654632223259673E-3</v>
      </c>
      <c r="W243" s="122">
        <v>4.305425874053325E-4</v>
      </c>
      <c r="X243" s="122">
        <v>1.7869725535414797E-4</v>
      </c>
      <c r="Y243" s="122">
        <v>3.4520844409647441E-3</v>
      </c>
      <c r="Z243" s="122">
        <v>7.7272827614503804E-3</v>
      </c>
      <c r="AA243" s="122">
        <v>0</v>
      </c>
      <c r="AB243" s="122">
        <v>3.9405537131308793E-3</v>
      </c>
      <c r="AC243" s="122">
        <v>1.8041835975489473E-2</v>
      </c>
    </row>
    <row r="244" spans="2:68" x14ac:dyDescent="0.35">
      <c r="B244" s="122" t="s">
        <v>345</v>
      </c>
      <c r="C244" s="122">
        <v>2.1696909640280381E-3</v>
      </c>
      <c r="D244" s="122">
        <v>-1.1028374067486764E-4</v>
      </c>
      <c r="E244" s="122">
        <v>5.087458787818432E-4</v>
      </c>
      <c r="F244" s="122">
        <v>-2.5437293939092156E-5</v>
      </c>
      <c r="G244" s="122">
        <v>1.525610244097639E-3</v>
      </c>
      <c r="H244" s="122">
        <v>3.235203975384487E-3</v>
      </c>
      <c r="I244" s="122">
        <v>1.6256502601040416E-3</v>
      </c>
      <c r="J244" s="122">
        <v>1.4120879396070311E-3</v>
      </c>
      <c r="K244" s="122">
        <v>1.4008279558751904E-2</v>
      </c>
      <c r="L244" s="122">
        <v>3.834600123731359E-4</v>
      </c>
      <c r="M244" s="122">
        <v>3.2623367989925765E-5</v>
      </c>
      <c r="N244" s="122">
        <v>2.4765631166504088E-2</v>
      </c>
      <c r="P244" s="147"/>
      <c r="Q244" s="122" t="s">
        <v>345</v>
      </c>
      <c r="R244" s="122">
        <v>1.8209695944675583E-3</v>
      </c>
      <c r="S244" s="122">
        <v>-1.5096790045692366E-4</v>
      </c>
      <c r="T244" s="122">
        <v>5.087458787818432E-4</v>
      </c>
      <c r="U244" s="122">
        <v>-2.5437293939092156E-5</v>
      </c>
      <c r="V244" s="122">
        <v>1.525610244097639E-3</v>
      </c>
      <c r="W244" s="122">
        <v>2.7152291126929309E-3</v>
      </c>
      <c r="X244" s="122">
        <v>1.6256502601040416E-3</v>
      </c>
      <c r="Y244" s="122">
        <v>1.3386093844548876E-3</v>
      </c>
      <c r="Z244" s="122">
        <v>1.2702032779889801E-2</v>
      </c>
      <c r="AA244" s="122">
        <v>2.709278017109483E-4</v>
      </c>
      <c r="AB244" s="122">
        <v>4.3391689046223865E-5</v>
      </c>
      <c r="AC244" s="122">
        <v>2.2374761550849855E-2</v>
      </c>
    </row>
    <row r="245" spans="2:68" x14ac:dyDescent="0.35">
      <c r="B245" s="122" t="s">
        <v>339</v>
      </c>
      <c r="C245" s="122">
        <v>7.6317014160409149E-4</v>
      </c>
      <c r="D245" s="122">
        <v>-1.1346797345547289E-4</v>
      </c>
      <c r="E245" s="122">
        <v>1.0174917575636864E-3</v>
      </c>
      <c r="F245" s="122">
        <v>-5.0874587878184312E-5</v>
      </c>
      <c r="G245" s="122">
        <v>1.5506202480992397E-3</v>
      </c>
      <c r="H245" s="122">
        <v>2.6260504201680674E-3</v>
      </c>
      <c r="I245" s="122">
        <v>1.6256502601040416E-3</v>
      </c>
      <c r="J245" s="122">
        <v>2.3018816718401642E-3</v>
      </c>
      <c r="K245" s="122">
        <v>1.4367689826623082E-2</v>
      </c>
      <c r="L245" s="122">
        <v>0</v>
      </c>
      <c r="M245" s="122">
        <v>8.6996317577796474E-4</v>
      </c>
      <c r="N245" s="122">
        <v>2.4958174940446679E-2</v>
      </c>
      <c r="P245" s="147"/>
      <c r="Q245" s="122" t="s">
        <v>327</v>
      </c>
      <c r="R245" s="122">
        <v>1.9812010201050753E-3</v>
      </c>
      <c r="S245" s="122">
        <v>-1.0568171698204363E-4</v>
      </c>
      <c r="T245" s="122">
        <v>3.4491498329926784E-4</v>
      </c>
      <c r="U245" s="122">
        <v>-3.4491498329926788E-5</v>
      </c>
      <c r="V245" s="122">
        <v>1.0654632223259673E-3</v>
      </c>
      <c r="W245" s="122">
        <v>2.9878618113912231E-4</v>
      </c>
      <c r="X245" s="122">
        <v>1.7869725535414797E-4</v>
      </c>
      <c r="Y245" s="122">
        <v>8.9836445575697966E-3</v>
      </c>
      <c r="Z245" s="122">
        <v>9.7570304386082433E-3</v>
      </c>
      <c r="AA245" s="122">
        <v>1.1235856659284928E-3</v>
      </c>
      <c r="AB245" s="122">
        <v>3.29492650738565E-4</v>
      </c>
      <c r="AC245" s="122">
        <v>2.3922642759756706E-2</v>
      </c>
      <c r="BD245" s="122" t="s">
        <v>18</v>
      </c>
      <c r="BE245" s="122" t="s">
        <v>28</v>
      </c>
      <c r="BF245" s="122" t="s">
        <v>14</v>
      </c>
      <c r="BG245" s="122" t="s">
        <v>25</v>
      </c>
      <c r="BH245" s="122" t="s">
        <v>37</v>
      </c>
      <c r="BI245" s="122" t="s">
        <v>52</v>
      </c>
      <c r="BJ245" s="122" t="s">
        <v>260</v>
      </c>
      <c r="BK245" s="122" t="s">
        <v>67</v>
      </c>
      <c r="BL245" s="122" t="s">
        <v>56</v>
      </c>
      <c r="BM245" s="122" t="s">
        <v>73</v>
      </c>
      <c r="BN245" s="122" t="s">
        <v>204</v>
      </c>
      <c r="BO245" s="122" t="s">
        <v>504</v>
      </c>
      <c r="BP245" s="122" t="s">
        <v>505</v>
      </c>
    </row>
    <row r="246" spans="2:68" x14ac:dyDescent="0.35">
      <c r="B246" s="122" t="s">
        <v>332</v>
      </c>
      <c r="C246" s="122">
        <v>2.0678991054715748E-3</v>
      </c>
      <c r="D246" s="122">
        <v>-1.0354267188938173E-4</v>
      </c>
      <c r="E246" s="122">
        <v>6.8982996659853576E-5</v>
      </c>
      <c r="F246" s="122">
        <v>-6.8982996659853564E-6</v>
      </c>
      <c r="G246" s="122">
        <v>1.0654632223259673E-3</v>
      </c>
      <c r="H246" s="122">
        <v>2.9878618113912231E-4</v>
      </c>
      <c r="I246" s="122">
        <v>8.6011184229469056E-5</v>
      </c>
      <c r="J246" s="122">
        <v>1.2272875676237464E-2</v>
      </c>
      <c r="K246" s="122">
        <v>7.5324347732678605E-3</v>
      </c>
      <c r="L246" s="122">
        <v>1.7776235815670366E-3</v>
      </c>
      <c r="M246" s="122">
        <v>2.4304989935415751E-4</v>
      </c>
      <c r="N246" s="122">
        <v>2.5302685648697143E-2</v>
      </c>
      <c r="P246" s="147"/>
      <c r="Q246" s="122" t="s">
        <v>326</v>
      </c>
      <c r="R246" s="122">
        <v>1.9922371300663917E-3</v>
      </c>
      <c r="S246" s="122">
        <v>-1.067853279781753E-4</v>
      </c>
      <c r="T246" s="122">
        <v>3.4491498329926784E-4</v>
      </c>
      <c r="U246" s="122">
        <v>-3.4491498329926788E-5</v>
      </c>
      <c r="V246" s="122">
        <v>1.0654632223259673E-3</v>
      </c>
      <c r="W246" s="122">
        <v>2.9878618113912231E-4</v>
      </c>
      <c r="X246" s="122">
        <v>1.7869725535414797E-4</v>
      </c>
      <c r="Y246" s="122">
        <v>9.2291415253648278E-3</v>
      </c>
      <c r="Z246" s="122">
        <v>9.9424909962219712E-3</v>
      </c>
      <c r="AA246" s="122">
        <v>1.4493686459020345E-3</v>
      </c>
      <c r="AB246" s="122">
        <v>3.2327580827179973E-4</v>
      </c>
      <c r="AC246" s="122">
        <v>2.4683098921637423E-2</v>
      </c>
      <c r="BB246" s="122">
        <v>2023</v>
      </c>
      <c r="BC246" s="122" t="s">
        <v>375</v>
      </c>
      <c r="BD246" s="122">
        <v>1.0347449498978036E-3</v>
      </c>
      <c r="BE246" s="122">
        <v>-1.0336086682377807E-4</v>
      </c>
      <c r="BF246" s="122">
        <v>3.4491498329926784E-4</v>
      </c>
      <c r="BG246" s="122">
        <v>-3.4491498329926788E-5</v>
      </c>
      <c r="BH246" s="122">
        <v>1.0654632223259673E-3</v>
      </c>
      <c r="BI246" s="122">
        <v>4.305425874053325E-4</v>
      </c>
      <c r="BJ246" s="122">
        <v>1.7869725535414797E-4</v>
      </c>
      <c r="BK246" s="122">
        <v>2.0608228308229173E-3</v>
      </c>
      <c r="BL246" s="122">
        <v>5.1168445173227313E-3</v>
      </c>
      <c r="BM246" s="122">
        <v>0</v>
      </c>
      <c r="BN246" s="122">
        <v>1.829443359540834E-3</v>
      </c>
      <c r="BO246" s="122">
        <v>1.1923621340815298E-2</v>
      </c>
    </row>
    <row r="247" spans="2:68" x14ac:dyDescent="0.35">
      <c r="B247" s="122" t="s">
        <v>323</v>
      </c>
      <c r="C247" s="122">
        <v>2.0678991054715748E-3</v>
      </c>
      <c r="D247" s="122">
        <v>-1.0354267188938173E-4</v>
      </c>
      <c r="E247" s="122">
        <v>6.8982996659853576E-5</v>
      </c>
      <c r="F247" s="122">
        <v>-6.8982996659853564E-6</v>
      </c>
      <c r="G247" s="122">
        <v>1.0654632223259673E-3</v>
      </c>
      <c r="H247" s="122">
        <v>2.9878618113912231E-4</v>
      </c>
      <c r="I247" s="122">
        <v>8.9502842587904882E-5</v>
      </c>
      <c r="J247" s="122">
        <v>1.2272875676237464E-2</v>
      </c>
      <c r="K247" s="122">
        <v>7.534077906613007E-3</v>
      </c>
      <c r="L247" s="122">
        <v>1.7780113542686798E-3</v>
      </c>
      <c r="M247" s="122">
        <v>2.4304989935415751E-4</v>
      </c>
      <c r="N247" s="122">
        <v>2.5308208213102368E-2</v>
      </c>
      <c r="P247" s="147"/>
      <c r="Q247" s="122" t="s">
        <v>343</v>
      </c>
      <c r="R247" s="122">
        <v>7.6317014160409149E-4</v>
      </c>
      <c r="S247" s="122">
        <v>-8.0920645629828101E-5</v>
      </c>
      <c r="T247" s="122">
        <v>5.087458787818432E-4</v>
      </c>
      <c r="U247" s="122">
        <v>-2.5437293939092156E-5</v>
      </c>
      <c r="V247" s="122">
        <v>1.525610244097639E-3</v>
      </c>
      <c r="W247" s="122">
        <v>2.6260504201680674E-3</v>
      </c>
      <c r="X247" s="122">
        <v>1.6256502601040416E-3</v>
      </c>
      <c r="Y247" s="122">
        <v>1.7417000535071175E-3</v>
      </c>
      <c r="Z247" s="122">
        <v>1.447659171617066E-2</v>
      </c>
      <c r="AA247" s="122">
        <v>0</v>
      </c>
      <c r="AB247" s="122">
        <v>2.0378339096479639E-3</v>
      </c>
      <c r="AC247" s="122">
        <v>2.5198994684512505E-2</v>
      </c>
      <c r="BC247" s="122" t="s">
        <v>371</v>
      </c>
      <c r="BD247" s="122">
        <v>1.0347449498978036E-3</v>
      </c>
      <c r="BE247" s="122">
        <v>-1.0336086682377807E-4</v>
      </c>
      <c r="BF247" s="122">
        <v>3.4491498329926784E-4</v>
      </c>
      <c r="BG247" s="122">
        <v>-3.4491498329926788E-5</v>
      </c>
      <c r="BH247" s="122">
        <v>1.0654632223259673E-3</v>
      </c>
      <c r="BI247" s="122">
        <v>4.305425874053325E-4</v>
      </c>
      <c r="BJ247" s="122">
        <v>1.7869725535414797E-4</v>
      </c>
      <c r="BK247" s="122">
        <v>4.5972662777521807E-3</v>
      </c>
      <c r="BL247" s="122">
        <v>6.934951781538197E-3</v>
      </c>
      <c r="BM247" s="122">
        <v>0</v>
      </c>
      <c r="BN247" s="122">
        <v>1.7360815489011045E-3</v>
      </c>
      <c r="BO247" s="122">
        <v>1.6184810241320298E-2</v>
      </c>
    </row>
    <row r="248" spans="2:68" x14ac:dyDescent="0.35">
      <c r="B248" s="122" t="s">
        <v>353</v>
      </c>
      <c r="C248" s="122">
        <v>1.7357527712224307E-3</v>
      </c>
      <c r="D248" s="122">
        <v>-8.822699253989411E-5</v>
      </c>
      <c r="E248" s="122">
        <v>5.0874587878184309E-4</v>
      </c>
      <c r="F248" s="122">
        <v>-2.5437293939092159E-5</v>
      </c>
      <c r="G248" s="122">
        <v>1.3005202080832333E-3</v>
      </c>
      <c r="H248" s="122">
        <v>2.5881631803075897E-3</v>
      </c>
      <c r="I248" s="122">
        <v>1.4005602240896359E-3</v>
      </c>
      <c r="J248" s="122">
        <v>1.1296703516856248E-3</v>
      </c>
      <c r="K248" s="122">
        <v>1.6646876856722573E-2</v>
      </c>
      <c r="L248" s="122">
        <v>2.5200330977196567E-4</v>
      </c>
      <c r="M248" s="122">
        <v>2.6098694391940615E-5</v>
      </c>
      <c r="N248" s="122">
        <v>2.547472718857785E-2</v>
      </c>
      <c r="P248" s="147"/>
      <c r="Q248" s="122" t="s">
        <v>346</v>
      </c>
      <c r="R248" s="122">
        <v>1.6052596798267933E-3</v>
      </c>
      <c r="S248" s="122">
        <v>-1.1861141326080898E-4</v>
      </c>
      <c r="T248" s="122">
        <v>5.087458787818432E-4</v>
      </c>
      <c r="U248" s="122">
        <v>-2.5437293939092156E-5</v>
      </c>
      <c r="V248" s="122">
        <v>1.525610244097639E-3</v>
      </c>
      <c r="W248" s="122">
        <v>2.5777082888133671E-3</v>
      </c>
      <c r="X248" s="122">
        <v>1.6256502601040416E-3</v>
      </c>
      <c r="Y248" s="122">
        <v>3.0499460445107076E-3</v>
      </c>
      <c r="Z248" s="122">
        <v>1.4644241808911017E-2</v>
      </c>
      <c r="AA248" s="122">
        <v>1.981461893806151E-4</v>
      </c>
      <c r="AB248" s="122">
        <v>9.8294139121103233E-5</v>
      </c>
      <c r="AC248" s="122">
        <v>2.5689553826347227E-2</v>
      </c>
      <c r="BC248" s="122" t="s">
        <v>343</v>
      </c>
      <c r="BD248" s="122">
        <v>7.6317014160409149E-4</v>
      </c>
      <c r="BE248" s="122">
        <v>-1.1346797345547289E-4</v>
      </c>
      <c r="BF248" s="122">
        <v>5.087458787818432E-4</v>
      </c>
      <c r="BG248" s="122">
        <v>-2.5437293939092156E-5</v>
      </c>
      <c r="BH248" s="122">
        <v>1.525610244097639E-3</v>
      </c>
      <c r="BI248" s="122">
        <v>2.6260504201680674E-3</v>
      </c>
      <c r="BJ248" s="122">
        <v>1.6256502601040416E-3</v>
      </c>
      <c r="BK248" s="122">
        <v>2.3018816718401642E-3</v>
      </c>
      <c r="BL248" s="122">
        <v>1.361627399540217E-2</v>
      </c>
      <c r="BM248" s="122">
        <v>0</v>
      </c>
      <c r="BN248" s="122">
        <v>8.6996317577796474E-4</v>
      </c>
      <c r="BO248" s="122">
        <v>2.3698440520381413E-2</v>
      </c>
    </row>
    <row r="249" spans="2:68" x14ac:dyDescent="0.35">
      <c r="B249" s="122" t="s">
        <v>350</v>
      </c>
      <c r="C249" s="122">
        <v>2.1632138711235615E-3</v>
      </c>
      <c r="D249" s="122">
        <v>-1.0931217673919614E-4</v>
      </c>
      <c r="E249" s="122">
        <v>7.6311881817276459E-4</v>
      </c>
      <c r="F249" s="122">
        <v>-3.8155940908638231E-5</v>
      </c>
      <c r="G249" s="122">
        <v>3.6264505802320927E-3</v>
      </c>
      <c r="H249" s="122">
        <v>3.4736649752972778E-3</v>
      </c>
      <c r="I249" s="122">
        <v>4.0016006402561026E-3</v>
      </c>
      <c r="J249" s="122">
        <v>4.2873120819145651E-3</v>
      </c>
      <c r="K249" s="122">
        <v>7.1237077544045839E-3</v>
      </c>
      <c r="L249" s="122">
        <v>3.3305646643969761E-4</v>
      </c>
      <c r="M249" s="122">
        <v>7.390092301741751E-5</v>
      </c>
      <c r="N249" s="122">
        <v>2.569855799321023E-2</v>
      </c>
      <c r="P249" s="147"/>
      <c r="Q249" s="122" t="s">
        <v>328</v>
      </c>
      <c r="R249" s="122">
        <v>1.3120601049831952E-3</v>
      </c>
      <c r="S249" s="122">
        <v>-7.1121060229817985E-5</v>
      </c>
      <c r="T249" s="122">
        <v>3.4491498329926784E-4</v>
      </c>
      <c r="U249" s="122">
        <v>-3.4491498329926788E-5</v>
      </c>
      <c r="V249" s="122">
        <v>1.0654632223259673E-3</v>
      </c>
      <c r="W249" s="122">
        <v>4.305425874053325E-4</v>
      </c>
      <c r="X249" s="122">
        <v>1.7869725535414797E-4</v>
      </c>
      <c r="Y249" s="122">
        <v>1.5009822198599115E-2</v>
      </c>
      <c r="Z249" s="122">
        <v>1.3933477784384415E-2</v>
      </c>
      <c r="AA249" s="122">
        <v>7.8012961553193885E-4</v>
      </c>
      <c r="AB249" s="122">
        <v>4.1823998269942579E-4</v>
      </c>
      <c r="AC249" s="122">
        <v>3.3367735176023053E-2</v>
      </c>
      <c r="BC249" s="122" t="s">
        <v>361</v>
      </c>
      <c r="BD249" s="122">
        <v>6.4495368251871292E-3</v>
      </c>
      <c r="BE249" s="122">
        <v>-1.6030702191455165E-3</v>
      </c>
      <c r="BF249" s="122">
        <v>1.552776665375814E-3</v>
      </c>
      <c r="BG249" s="122">
        <v>-3.8819416634395349E-4</v>
      </c>
      <c r="BH249" s="122">
        <v>2.6666666666666665E-2</v>
      </c>
      <c r="BI249" s="122">
        <v>7.619047619047619E-3</v>
      </c>
      <c r="BJ249" s="122">
        <v>4.4000000000000003E-3</v>
      </c>
      <c r="BK249" s="122">
        <v>7.7725726298020935E-3</v>
      </c>
      <c r="BL249" s="122">
        <v>3.5419879251199486E-2</v>
      </c>
      <c r="BM249" s="122">
        <v>0</v>
      </c>
      <c r="BN249" s="122">
        <v>2.9375323900042061E-3</v>
      </c>
      <c r="BO249" s="122">
        <v>9.0826747661793536E-2</v>
      </c>
    </row>
    <row r="250" spans="2:68" x14ac:dyDescent="0.35">
      <c r="B250" s="122" t="s">
        <v>341</v>
      </c>
      <c r="C250" s="122">
        <v>2.1696909640280381E-3</v>
      </c>
      <c r="D250" s="122">
        <v>-1.1028374067486764E-4</v>
      </c>
      <c r="E250" s="122">
        <v>1.0174917575636864E-3</v>
      </c>
      <c r="F250" s="122">
        <v>-5.0874587878184312E-5</v>
      </c>
      <c r="G250" s="122">
        <v>1.5506202480992397E-3</v>
      </c>
      <c r="H250" s="122">
        <v>3.235203975384487E-3</v>
      </c>
      <c r="I250" s="122">
        <v>1.6256502601040416E-3</v>
      </c>
      <c r="J250" s="122">
        <v>1.4120879396070311E-3</v>
      </c>
      <c r="K250" s="122">
        <v>1.4759695389972809E-2</v>
      </c>
      <c r="L250" s="122">
        <v>4.0402912813991207E-4</v>
      </c>
      <c r="M250" s="122">
        <v>3.2623367989925765E-5</v>
      </c>
      <c r="N250" s="122">
        <v>2.6045934702336116E-2</v>
      </c>
      <c r="P250" s="147"/>
      <c r="Q250" s="122" t="s">
        <v>362</v>
      </c>
      <c r="R250" s="122">
        <v>1.2195666695447615E-2</v>
      </c>
      <c r="S250" s="122">
        <v>-2.5312150332824808E-3</v>
      </c>
      <c r="T250" s="122">
        <v>1.552776665375814E-3</v>
      </c>
      <c r="U250" s="122">
        <v>-3.8819416634395349E-4</v>
      </c>
      <c r="V250" s="122">
        <v>2.6666666666666665E-2</v>
      </c>
      <c r="W250" s="122">
        <v>5.7142857142857143E-3</v>
      </c>
      <c r="X250" s="122">
        <v>4.4000000000000003E-3</v>
      </c>
      <c r="Y250" s="122">
        <v>4.3849921608221393E-3</v>
      </c>
      <c r="Z250" s="122">
        <v>3.3379819142098317E-2</v>
      </c>
      <c r="AA250" s="122">
        <v>4.4802769050627939E-3</v>
      </c>
      <c r="AB250" s="122">
        <v>1.7593229318620677E-4</v>
      </c>
      <c r="AC250" s="122">
        <v>9.0031007043318817E-2</v>
      </c>
    </row>
    <row r="251" spans="2:68" x14ac:dyDescent="0.35">
      <c r="B251" s="122" t="s">
        <v>327</v>
      </c>
      <c r="C251" s="122">
        <v>2.0676718491395704E-3</v>
      </c>
      <c r="D251" s="122">
        <v>-1.0351994625618128E-4</v>
      </c>
      <c r="E251" s="122">
        <v>3.4491498329926784E-4</v>
      </c>
      <c r="F251" s="122">
        <v>-3.4491498329926788E-5</v>
      </c>
      <c r="G251" s="122">
        <v>1.0654632223259673E-3</v>
      </c>
      <c r="H251" s="122">
        <v>2.9878618113912231E-4</v>
      </c>
      <c r="I251" s="122">
        <v>1.7869725535414797E-4</v>
      </c>
      <c r="J251" s="122">
        <v>1.1281068013309969E-2</v>
      </c>
      <c r="K251" s="122">
        <v>1.1471848924667526E-2</v>
      </c>
      <c r="L251" s="122">
        <v>1.3400606185818564E-3</v>
      </c>
      <c r="M251" s="122">
        <v>2.4772393588019895E-4</v>
      </c>
      <c r="N251" s="122">
        <v>2.8158223539111519E-2</v>
      </c>
      <c r="P251" s="147"/>
      <c r="Q251" s="122" t="s">
        <v>361</v>
      </c>
      <c r="R251" s="122">
        <v>6.7111667881585542E-3</v>
      </c>
      <c r="S251" s="122">
        <v>-1.3676032524712327E-3</v>
      </c>
      <c r="T251" s="122">
        <v>1.552776665375814E-3</v>
      </c>
      <c r="U251" s="122">
        <v>-3.8819416634395349E-4</v>
      </c>
      <c r="V251" s="122">
        <v>2.6666666666666665E-2</v>
      </c>
      <c r="W251" s="122">
        <v>7.619047619047619E-3</v>
      </c>
      <c r="X251" s="122">
        <v>4.4000000000000003E-3</v>
      </c>
      <c r="Y251" s="122">
        <v>5.4476320290995812E-3</v>
      </c>
      <c r="Z251" s="122">
        <v>3.6433929617258602E-2</v>
      </c>
      <c r="AA251" s="122">
        <v>0</v>
      </c>
      <c r="AB251" s="122">
        <v>6.3738697451547754E-3</v>
      </c>
      <c r="AC251" s="122">
        <v>9.3449291711946436E-2</v>
      </c>
    </row>
    <row r="252" spans="2:68" x14ac:dyDescent="0.35">
      <c r="B252" s="122" t="s">
        <v>330</v>
      </c>
      <c r="C252" s="122">
        <v>2.0676718491395704E-3</v>
      </c>
      <c r="D252" s="122">
        <v>-1.0351994625618128E-4</v>
      </c>
      <c r="E252" s="122">
        <v>6.8982996659853576E-5</v>
      </c>
      <c r="F252" s="122">
        <v>-6.8982996659853564E-6</v>
      </c>
      <c r="G252" s="122">
        <v>1.0654632223259673E-3</v>
      </c>
      <c r="H252" s="122">
        <v>2.9878618113912231E-4</v>
      </c>
      <c r="I252" s="122">
        <v>8.6011184229469056E-5</v>
      </c>
      <c r="J252" s="122">
        <v>1.1281068013309969E-2</v>
      </c>
      <c r="K252" s="122">
        <v>1.3863771448702111E-2</v>
      </c>
      <c r="L252" s="122">
        <v>1.305617746567414E-3</v>
      </c>
      <c r="M252" s="122">
        <v>2.4772393588019895E-4</v>
      </c>
      <c r="N252" s="122">
        <v>3.017467833203151E-2</v>
      </c>
      <c r="P252" s="147"/>
      <c r="Q252" s="122" t="s">
        <v>363</v>
      </c>
      <c r="R252" s="122">
        <v>1.3602217096595365E-2</v>
      </c>
      <c r="S252" s="122">
        <v>-2.721219397624406E-3</v>
      </c>
      <c r="T252" s="122">
        <v>1.552776665375814E-3</v>
      </c>
      <c r="U252" s="122">
        <v>-3.8819416634395349E-4</v>
      </c>
      <c r="V252" s="122">
        <v>2.6666666666666665E-2</v>
      </c>
      <c r="W252" s="122">
        <v>7.7224822441822839E-3</v>
      </c>
      <c r="X252" s="122">
        <v>4.4000000000000003E-3</v>
      </c>
      <c r="Y252" s="122">
        <v>1.1998664665103829E-2</v>
      </c>
      <c r="Z252" s="122">
        <v>4.0389331457089936E-2</v>
      </c>
      <c r="AA252" s="122">
        <v>2.4483661246475913E-3</v>
      </c>
      <c r="AB252" s="122">
        <v>4.5605399770604809E-4</v>
      </c>
      <c r="AC252" s="122">
        <v>0.10612714535339918</v>
      </c>
    </row>
    <row r="253" spans="2:68" x14ac:dyDescent="0.35">
      <c r="B253" s="122" t="s">
        <v>326</v>
      </c>
      <c r="C253" s="122">
        <v>2.0678991054715748E-3</v>
      </c>
      <c r="D253" s="122">
        <v>-1.0354267188938173E-4</v>
      </c>
      <c r="E253" s="122">
        <v>3.4491498329926784E-4</v>
      </c>
      <c r="F253" s="122">
        <v>-3.4491498329926788E-5</v>
      </c>
      <c r="G253" s="122">
        <v>1.0654632223259673E-3</v>
      </c>
      <c r="H253" s="122">
        <v>2.9878618113912231E-4</v>
      </c>
      <c r="I253" s="122">
        <v>1.7869725535414797E-4</v>
      </c>
      <c r="J253" s="122">
        <v>1.2272875676237464E-2</v>
      </c>
      <c r="K253" s="122">
        <v>1.2206612204370044E-2</v>
      </c>
      <c r="L253" s="122">
        <v>1.8216255696068655E-3</v>
      </c>
      <c r="M253" s="122">
        <v>2.4304989935415751E-4</v>
      </c>
      <c r="N253" s="122">
        <v>3.0361889926939306E-2</v>
      </c>
      <c r="P253" s="147">
        <v>2050</v>
      </c>
      <c r="Q253" s="122" t="s">
        <v>375</v>
      </c>
      <c r="R253" s="122">
        <v>1.0347449498978036E-3</v>
      </c>
      <c r="S253" s="122">
        <v>-5.2575506979843073E-5</v>
      </c>
      <c r="T253" s="122">
        <v>3.4491498329926784E-4</v>
      </c>
      <c r="U253" s="122">
        <v>-3.4491498329926788E-5</v>
      </c>
      <c r="V253" s="122">
        <v>1.0654632223259673E-3</v>
      </c>
      <c r="W253" s="122">
        <v>4.305425874053325E-4</v>
      </c>
      <c r="X253" s="122">
        <v>1.7869725535414797E-4</v>
      </c>
      <c r="Y253" s="122">
        <v>1.2203078195589308E-3</v>
      </c>
      <c r="Z253" s="122">
        <v>6.1284837744017689E-3</v>
      </c>
      <c r="AA253" s="122">
        <v>0</v>
      </c>
      <c r="AB253" s="122">
        <v>3.9785632626608411E-3</v>
      </c>
      <c r="AC253" s="122">
        <v>1.429465084959429E-2</v>
      </c>
    </row>
    <row r="254" spans="2:68" x14ac:dyDescent="0.35">
      <c r="B254" s="122" t="s">
        <v>346</v>
      </c>
      <c r="C254" s="122">
        <v>2.1632138711235615E-3</v>
      </c>
      <c r="D254" s="122">
        <v>-1.0931217673919614E-4</v>
      </c>
      <c r="E254" s="122">
        <v>5.087458787818432E-4</v>
      </c>
      <c r="F254" s="122">
        <v>-2.5437293939092156E-5</v>
      </c>
      <c r="G254" s="122">
        <v>1.525610244097639E-3</v>
      </c>
      <c r="H254" s="122">
        <v>3.4736649752972778E-3</v>
      </c>
      <c r="I254" s="122">
        <v>1.6256502601040416E-3</v>
      </c>
      <c r="J254" s="122">
        <v>4.2873120819145651E-3</v>
      </c>
      <c r="K254" s="122">
        <v>1.8240362628626827E-2</v>
      </c>
      <c r="L254" s="122">
        <v>2.4680406093702256E-4</v>
      </c>
      <c r="M254" s="122">
        <v>7.390092301741751E-5</v>
      </c>
      <c r="N254" s="122">
        <v>3.2010515453221908E-2</v>
      </c>
      <c r="P254" s="147"/>
      <c r="Q254" s="122" t="s">
        <v>326</v>
      </c>
      <c r="R254" s="122">
        <v>1.3569040676564852E-3</v>
      </c>
      <c r="S254" s="122">
        <v>-1.3401388779574273E-4</v>
      </c>
      <c r="T254" s="122">
        <v>3.4491498329926784E-4</v>
      </c>
      <c r="U254" s="122">
        <v>-3.4491498329926788E-5</v>
      </c>
      <c r="V254" s="122">
        <v>1.0654632223259673E-3</v>
      </c>
      <c r="W254" s="122">
        <v>2.9878618113912231E-4</v>
      </c>
      <c r="X254" s="122">
        <v>1.7869725535414797E-4</v>
      </c>
      <c r="Y254" s="122">
        <v>5.7533619435061857E-3</v>
      </c>
      <c r="Z254" s="122">
        <v>6.6231734591320202E-3</v>
      </c>
      <c r="AA254" s="122">
        <v>7.7731195032683734E-4</v>
      </c>
      <c r="AB254" s="122">
        <v>1.2840718932885571E-6</v>
      </c>
      <c r="AC254" s="122">
        <v>1.6231391748507649E-2</v>
      </c>
    </row>
    <row r="255" spans="2:68" x14ac:dyDescent="0.35">
      <c r="B255" s="122" t="s">
        <v>329</v>
      </c>
      <c r="C255" s="122">
        <v>2.0678991054715748E-3</v>
      </c>
      <c r="D255" s="122">
        <v>-1.0354267188938173E-4</v>
      </c>
      <c r="E255" s="122">
        <v>6.8982996659853576E-5</v>
      </c>
      <c r="F255" s="122">
        <v>-6.8982996659853564E-6</v>
      </c>
      <c r="G255" s="122">
        <v>1.0654632223259673E-3</v>
      </c>
      <c r="H255" s="122">
        <v>2.9878618113912231E-4</v>
      </c>
      <c r="I255" s="122">
        <v>8.6011184229469056E-5</v>
      </c>
      <c r="J255" s="122">
        <v>1.2272875676237464E-2</v>
      </c>
      <c r="K255" s="122">
        <v>1.4775160516794658E-2</v>
      </c>
      <c r="L255" s="122">
        <v>1.7776235815670366E-3</v>
      </c>
      <c r="M255" s="122">
        <v>2.4304989935415751E-4</v>
      </c>
      <c r="N255" s="122">
        <v>3.2545411392223937E-2</v>
      </c>
      <c r="P255" s="147"/>
      <c r="Q255" s="122" t="s">
        <v>327</v>
      </c>
      <c r="R255" s="122">
        <v>1.2551060916366106E-3</v>
      </c>
      <c r="S255" s="122">
        <v>-1.2383409019375524E-4</v>
      </c>
      <c r="T255" s="122">
        <v>3.4491498329926784E-4</v>
      </c>
      <c r="U255" s="122">
        <v>-3.4491498329926788E-5</v>
      </c>
      <c r="V255" s="122">
        <v>1.0654632223259673E-3</v>
      </c>
      <c r="W255" s="122">
        <v>2.9878618113912231E-4</v>
      </c>
      <c r="X255" s="122">
        <v>1.7869725535414797E-4</v>
      </c>
      <c r="Y255" s="122">
        <v>5.981953183602064E-3</v>
      </c>
      <c r="Z255" s="122">
        <v>6.7251252770804803E-3</v>
      </c>
      <c r="AA255" s="122">
        <v>6.8188898510337589E-4</v>
      </c>
      <c r="AB255" s="122">
        <v>1.3087655835441336E-6</v>
      </c>
      <c r="AC255" s="122">
        <v>1.6374918356600897E-2</v>
      </c>
    </row>
    <row r="256" spans="2:68" x14ac:dyDescent="0.35">
      <c r="B256" s="122" t="s">
        <v>354</v>
      </c>
      <c r="C256" s="122">
        <v>1.7305710968988492E-3</v>
      </c>
      <c r="D256" s="122">
        <v>-8.7449741391356912E-5</v>
      </c>
      <c r="E256" s="122">
        <v>5.0874587878184309E-4</v>
      </c>
      <c r="F256" s="122">
        <v>-2.5437293939092159E-5</v>
      </c>
      <c r="G256" s="122">
        <v>1.3005202080832333E-3</v>
      </c>
      <c r="H256" s="122">
        <v>2.7789319802378224E-3</v>
      </c>
      <c r="I256" s="122">
        <v>1.4005602240896359E-3</v>
      </c>
      <c r="J256" s="122">
        <v>3.4298496655316519E-3</v>
      </c>
      <c r="K256" s="122">
        <v>2.1508851360253295E-2</v>
      </c>
      <c r="L256" s="122">
        <v>1.6154039629832917E-4</v>
      </c>
      <c r="M256" s="122">
        <v>5.9120738413934012E-5</v>
      </c>
      <c r="N256" s="122">
        <v>3.2765804513258147E-2</v>
      </c>
      <c r="P256" s="147"/>
      <c r="Q256" s="122" t="s">
        <v>371</v>
      </c>
      <c r="R256" s="122">
        <v>1.0347449498978036E-3</v>
      </c>
      <c r="S256" s="122">
        <v>-5.2575506979843073E-5</v>
      </c>
      <c r="T256" s="122">
        <v>3.4491498329926784E-4</v>
      </c>
      <c r="U256" s="122">
        <v>-3.4491498329926788E-5</v>
      </c>
      <c r="V256" s="122">
        <v>1.0654632223259673E-3</v>
      </c>
      <c r="W256" s="122">
        <v>4.305425874053325E-4</v>
      </c>
      <c r="X256" s="122">
        <v>1.7869725535414797E-4</v>
      </c>
      <c r="Y256" s="122">
        <v>2.7222524437461601E-3</v>
      </c>
      <c r="Z256" s="122">
        <v>7.0951122246133407E-3</v>
      </c>
      <c r="AA256" s="122">
        <v>0</v>
      </c>
      <c r="AB256" s="122">
        <v>3.7755256184454147E-3</v>
      </c>
      <c r="AC256" s="122">
        <v>1.6560186279777664E-2</v>
      </c>
    </row>
    <row r="257" spans="2:68" x14ac:dyDescent="0.35">
      <c r="B257" s="122" t="s">
        <v>342</v>
      </c>
      <c r="C257" s="122">
        <v>2.1632138711235615E-3</v>
      </c>
      <c r="D257" s="122">
        <v>-1.0931217673919614E-4</v>
      </c>
      <c r="E257" s="122">
        <v>1.0174917575636864E-3</v>
      </c>
      <c r="F257" s="122">
        <v>-5.0874587878184312E-5</v>
      </c>
      <c r="G257" s="122">
        <v>1.5506202480992397E-3</v>
      </c>
      <c r="H257" s="122">
        <v>3.4736649752972778E-3</v>
      </c>
      <c r="I257" s="122">
        <v>1.6256502601040416E-3</v>
      </c>
      <c r="J257" s="122">
        <v>4.2873120819145651E-3</v>
      </c>
      <c r="K257" s="122">
        <v>1.8991778459847734E-2</v>
      </c>
      <c r="L257" s="122">
        <v>2.5697120960470506E-4</v>
      </c>
      <c r="M257" s="122">
        <v>7.390092301741751E-5</v>
      </c>
      <c r="N257" s="122">
        <v>3.3280417021954847E-2</v>
      </c>
      <c r="P257" s="147"/>
      <c r="Q257" s="122" t="s">
        <v>344</v>
      </c>
      <c r="R257" s="122">
        <v>1.0902430594344164E-3</v>
      </c>
      <c r="S257" s="122">
        <v>-1.6353645891516245E-4</v>
      </c>
      <c r="T257" s="122">
        <v>5.087458787818432E-4</v>
      </c>
      <c r="U257" s="122">
        <v>-2.5437293939092156E-5</v>
      </c>
      <c r="V257" s="122">
        <v>1.525610244097639E-3</v>
      </c>
      <c r="W257" s="122">
        <v>1.6256502601040416E-3</v>
      </c>
      <c r="X257" s="122">
        <v>1.6256502601040416E-3</v>
      </c>
      <c r="Y257" s="122">
        <v>1.1055597498197058E-3</v>
      </c>
      <c r="Z257" s="122">
        <v>9.8678583639288837E-3</v>
      </c>
      <c r="AA257" s="122">
        <v>0</v>
      </c>
      <c r="AB257" s="122">
        <v>1.6221602331949914E-7</v>
      </c>
      <c r="AC257" s="122">
        <v>1.7160506279439634E-2</v>
      </c>
    </row>
    <row r="258" spans="2:68" x14ac:dyDescent="0.35">
      <c r="B258" s="122" t="s">
        <v>334</v>
      </c>
      <c r="C258" s="122">
        <v>1.3444866658711308E-3</v>
      </c>
      <c r="D258" s="122">
        <v>-6.7337961459558828E-5</v>
      </c>
      <c r="E258" s="122">
        <v>6.8982996659853576E-5</v>
      </c>
      <c r="F258" s="122">
        <v>-6.8982996659853564E-6</v>
      </c>
      <c r="G258" s="122">
        <v>1.0654632223259673E-3</v>
      </c>
      <c r="H258" s="122">
        <v>4.305425874053325E-4</v>
      </c>
      <c r="I258" s="122">
        <v>8.6011184229469056E-5</v>
      </c>
      <c r="J258" s="122">
        <v>2.4929435480202329E-2</v>
      </c>
      <c r="K258" s="122">
        <v>1.3260672807057335E-2</v>
      </c>
      <c r="L258" s="122">
        <v>1.1741220714582001E-3</v>
      </c>
      <c r="M258" s="122">
        <v>3.1444724009633705E-4</v>
      </c>
      <c r="N258" s="122">
        <v>4.2599927994180407E-2</v>
      </c>
      <c r="P258" s="147"/>
      <c r="Q258" s="122" t="s">
        <v>346</v>
      </c>
      <c r="R258" s="122">
        <v>8.7510622887057403E-4</v>
      </c>
      <c r="S258" s="122">
        <v>-1.3078063744341263E-4</v>
      </c>
      <c r="T258" s="122">
        <v>5.087458787818432E-4</v>
      </c>
      <c r="U258" s="122">
        <v>-2.5437293939092156E-5</v>
      </c>
      <c r="V258" s="122">
        <v>1.525610244097639E-3</v>
      </c>
      <c r="W258" s="122">
        <v>1.4052359304229719E-3</v>
      </c>
      <c r="X258" s="122">
        <v>1.6256502601040416E-3</v>
      </c>
      <c r="Y258" s="122">
        <v>1.9299899093780208E-3</v>
      </c>
      <c r="Z258" s="122">
        <v>1.0434736817586325E-2</v>
      </c>
      <c r="AA258" s="122">
        <v>1.4118882797579859E-4</v>
      </c>
      <c r="AB258" s="122">
        <v>3.9043051812366417E-7</v>
      </c>
      <c r="AC258" s="122">
        <v>1.8290436596352835E-2</v>
      </c>
    </row>
    <row r="259" spans="2:68" x14ac:dyDescent="0.35">
      <c r="B259" s="122" t="s">
        <v>325</v>
      </c>
      <c r="C259" s="122">
        <v>1.3444866658711308E-3</v>
      </c>
      <c r="D259" s="122">
        <v>-6.7337961459558828E-5</v>
      </c>
      <c r="E259" s="122">
        <v>6.8982996659853576E-5</v>
      </c>
      <c r="F259" s="122">
        <v>-6.8982996659853564E-6</v>
      </c>
      <c r="G259" s="122">
        <v>1.0654632223259673E-3</v>
      </c>
      <c r="H259" s="122">
        <v>4.305425874053325E-4</v>
      </c>
      <c r="I259" s="122">
        <v>8.9502842587904882E-5</v>
      </c>
      <c r="J259" s="122">
        <v>2.4929435480202329E-2</v>
      </c>
      <c r="K259" s="122">
        <v>1.3262315940402478E-2</v>
      </c>
      <c r="L259" s="122">
        <v>1.1742675572231354E-3</v>
      </c>
      <c r="M259" s="122">
        <v>3.1444724009633705E-4</v>
      </c>
      <c r="N259" s="122">
        <v>4.2605208271648924E-2</v>
      </c>
      <c r="P259" s="147"/>
      <c r="Q259" s="122" t="s">
        <v>345</v>
      </c>
      <c r="R259" s="122">
        <v>1.364623687619921E-3</v>
      </c>
      <c r="S259" s="122">
        <v>-2.0420825625581466E-4</v>
      </c>
      <c r="T259" s="122">
        <v>5.087458787818432E-4</v>
      </c>
      <c r="U259" s="122">
        <v>-2.5437293939092156E-5</v>
      </c>
      <c r="V259" s="122">
        <v>1.525610244097639E-3</v>
      </c>
      <c r="W259" s="122">
        <v>2.0347764046985059E-3</v>
      </c>
      <c r="X259" s="122">
        <v>1.6256502601040416E-3</v>
      </c>
      <c r="Y259" s="122">
        <v>1.1746572341834374E-3</v>
      </c>
      <c r="Z259" s="122">
        <v>1.0824531230400562E-2</v>
      </c>
      <c r="AA259" s="122">
        <v>1.4679491542963011E-4</v>
      </c>
      <c r="AB259" s="122">
        <v>1.7235452477696371E-7</v>
      </c>
      <c r="AC259" s="122">
        <v>1.8975916659645448E-2</v>
      </c>
    </row>
    <row r="260" spans="2:68" x14ac:dyDescent="0.35">
      <c r="B260" s="122" t="s">
        <v>328</v>
      </c>
      <c r="C260" s="122">
        <v>1.3444866658711308E-3</v>
      </c>
      <c r="D260" s="122">
        <v>-6.7337961459558828E-5</v>
      </c>
      <c r="E260" s="122">
        <v>3.4491498329926784E-4</v>
      </c>
      <c r="F260" s="122">
        <v>-3.4491498329926788E-5</v>
      </c>
      <c r="G260" s="122">
        <v>1.0654632223259673E-3</v>
      </c>
      <c r="H260" s="122">
        <v>4.305425874053325E-4</v>
      </c>
      <c r="I260" s="122">
        <v>1.7869725535414797E-4</v>
      </c>
      <c r="J260" s="122">
        <v>2.4929435480202329E-2</v>
      </c>
      <c r="K260" s="122">
        <v>2.1265221188037118E-2</v>
      </c>
      <c r="L260" s="122">
        <v>1.1906308738093702E-3</v>
      </c>
      <c r="M260" s="122">
        <v>3.1444724009633705E-4</v>
      </c>
      <c r="N260" s="122">
        <v>5.0962010036611514E-2</v>
      </c>
      <c r="P260" s="147"/>
      <c r="Q260" s="122" t="s">
        <v>328</v>
      </c>
      <c r="R260" s="122">
        <v>1.0397745068075209E-3</v>
      </c>
      <c r="S260" s="122">
        <v>-1.0288771335031333E-4</v>
      </c>
      <c r="T260" s="122">
        <v>3.4491498329926784E-4</v>
      </c>
      <c r="U260" s="122">
        <v>-3.4491498329926788E-5</v>
      </c>
      <c r="V260" s="122">
        <v>1.0654632223259673E-3</v>
      </c>
      <c r="W260" s="122">
        <v>4.305425874053325E-4</v>
      </c>
      <c r="X260" s="122">
        <v>1.7869725535414797E-4</v>
      </c>
      <c r="Y260" s="122">
        <v>8.648815138865713E-3</v>
      </c>
      <c r="Z260" s="122">
        <v>8.6634215848329331E-3</v>
      </c>
      <c r="AA260" s="122">
        <v>4.8506136477580175E-4</v>
      </c>
      <c r="AB260" s="122">
        <v>1.6612755816924542E-6</v>
      </c>
      <c r="AC260" s="122">
        <v>2.0720972707568137E-2</v>
      </c>
    </row>
    <row r="261" spans="2:68" x14ac:dyDescent="0.35">
      <c r="B261" s="122" t="s">
        <v>331</v>
      </c>
      <c r="C261" s="122">
        <v>1.3444866658711308E-3</v>
      </c>
      <c r="D261" s="122">
        <v>-6.7337961459558828E-5</v>
      </c>
      <c r="E261" s="122">
        <v>6.8982996659853576E-5</v>
      </c>
      <c r="F261" s="122">
        <v>-6.8982996659853564E-6</v>
      </c>
      <c r="G261" s="122">
        <v>1.0654632223259673E-3</v>
      </c>
      <c r="H261" s="122">
        <v>4.305425874053325E-4</v>
      </c>
      <c r="I261" s="122">
        <v>8.6011184229469056E-5</v>
      </c>
      <c r="J261" s="122">
        <v>2.4929435480202329E-2</v>
      </c>
      <c r="K261" s="122">
        <v>2.6011319736920165E-2</v>
      </c>
      <c r="L261" s="122">
        <v>1.1741220714582001E-3</v>
      </c>
      <c r="M261" s="122">
        <v>3.1444724009633705E-4</v>
      </c>
      <c r="N261" s="122">
        <v>5.5350574924043237E-2</v>
      </c>
      <c r="P261" s="147"/>
      <c r="Q261" s="122" t="s">
        <v>343</v>
      </c>
      <c r="R261" s="122">
        <v>7.6317014160409149E-4</v>
      </c>
      <c r="S261" s="122">
        <v>-3.832836099071531E-5</v>
      </c>
      <c r="T261" s="122">
        <v>5.087458787818432E-4</v>
      </c>
      <c r="U261" s="122">
        <v>-2.5437293939092156E-5</v>
      </c>
      <c r="V261" s="122">
        <v>1.525610244097639E-3</v>
      </c>
      <c r="W261" s="122">
        <v>2.6260504201680674E-3</v>
      </c>
      <c r="X261" s="122">
        <v>1.6256502601040416E-3</v>
      </c>
      <c r="Y261" s="122">
        <v>1.4677247641913908E-3</v>
      </c>
      <c r="Z261" s="122">
        <v>1.4165670803636463E-2</v>
      </c>
      <c r="AA261" s="122">
        <v>0</v>
      </c>
      <c r="AB261" s="122">
        <v>2.0378339096479639E-3</v>
      </c>
      <c r="AC261" s="122">
        <v>2.4656690767301693E-2</v>
      </c>
    </row>
    <row r="262" spans="2:68" x14ac:dyDescent="0.35">
      <c r="B262" s="122" t="s">
        <v>358</v>
      </c>
      <c r="C262" s="122">
        <v>6.1563760604058963E-3</v>
      </c>
      <c r="D262" s="122">
        <v>-1.5302033910025385E-3</v>
      </c>
      <c r="E262" s="122">
        <v>2.964391815717463E-3</v>
      </c>
      <c r="F262" s="122">
        <v>-7.4109795392936575E-4</v>
      </c>
      <c r="G262" s="122">
        <v>2.5454545454545455E-2</v>
      </c>
      <c r="H262" s="122">
        <v>7.2727272727272727E-3</v>
      </c>
      <c r="I262" s="122">
        <v>4.4000000000000003E-3</v>
      </c>
      <c r="J262" s="122">
        <v>7.7725726298020926E-3</v>
      </c>
      <c r="K262" s="122">
        <v>3.1595085104697683E-2</v>
      </c>
      <c r="L262" s="122">
        <v>0</v>
      </c>
      <c r="M262" s="122">
        <v>2.9375323900042061E-3</v>
      </c>
      <c r="N262" s="122">
        <v>8.6281929382968151E-2</v>
      </c>
      <c r="P262" s="147"/>
      <c r="Q262" s="122" t="s">
        <v>362</v>
      </c>
      <c r="R262" s="122">
        <v>8.9023613155393838E-3</v>
      </c>
      <c r="S262" s="122">
        <v>-2.2244856106439686E-3</v>
      </c>
      <c r="T262" s="122">
        <v>1.552776665375814E-3</v>
      </c>
      <c r="U262" s="122">
        <v>-3.8819416634395349E-4</v>
      </c>
      <c r="V262" s="122">
        <v>2.6666666666666665E-2</v>
      </c>
      <c r="W262" s="122">
        <v>5.7142857142857143E-3</v>
      </c>
      <c r="X262" s="122">
        <v>4.4000000000000003E-3</v>
      </c>
      <c r="Y262" s="122">
        <v>3.6038550798649727E-3</v>
      </c>
      <c r="Z262" s="122">
        <v>3.0894048511656932E-2</v>
      </c>
      <c r="AA262" s="122">
        <v>2.5852196016976914E-3</v>
      </c>
      <c r="AB262" s="122">
        <v>6.9881416122631238E-7</v>
      </c>
      <c r="AC262" s="122">
        <v>8.1707232592260481E-2</v>
      </c>
      <c r="BB262" s="122" t="s">
        <v>479</v>
      </c>
    </row>
    <row r="263" spans="2:68" x14ac:dyDescent="0.35">
      <c r="B263" s="122" t="s">
        <v>361</v>
      </c>
      <c r="C263" s="122">
        <v>6.4495368251871292E-3</v>
      </c>
      <c r="D263" s="122">
        <v>-1.6030702191455165E-3</v>
      </c>
      <c r="E263" s="122">
        <v>1.552776665375814E-3</v>
      </c>
      <c r="F263" s="122">
        <v>-3.8819416634395349E-4</v>
      </c>
      <c r="G263" s="122">
        <v>2.6666666666666665E-2</v>
      </c>
      <c r="H263" s="122">
        <v>7.619047619047619E-3</v>
      </c>
      <c r="I263" s="122">
        <v>4.4000000000000003E-3</v>
      </c>
      <c r="J263" s="122">
        <v>7.7725726298020935E-3</v>
      </c>
      <c r="K263" s="122">
        <v>3.5419879251199486E-2</v>
      </c>
      <c r="L263" s="122">
        <v>0</v>
      </c>
      <c r="M263" s="122">
        <v>2.9375323900042061E-3</v>
      </c>
      <c r="N263" s="122">
        <v>9.0826747661793536E-2</v>
      </c>
      <c r="P263" s="147"/>
      <c r="Q263" s="122" t="s">
        <v>363</v>
      </c>
      <c r="R263" s="122">
        <v>9.5184690021196325E-3</v>
      </c>
      <c r="S263" s="122">
        <v>-2.3780107811737857E-3</v>
      </c>
      <c r="T263" s="122">
        <v>1.552776665375814E-3</v>
      </c>
      <c r="U263" s="122">
        <v>-3.8819416634395349E-4</v>
      </c>
      <c r="V263" s="122">
        <v>2.6666666666666665E-2</v>
      </c>
      <c r="W263" s="122">
        <v>6.8591891840075045E-3</v>
      </c>
      <c r="X263" s="122">
        <v>4.4000000000000003E-3</v>
      </c>
      <c r="Y263" s="122">
        <v>7.486376912485577E-3</v>
      </c>
      <c r="Z263" s="122">
        <v>3.4355841857406665E-2</v>
      </c>
      <c r="AA263" s="122">
        <v>1.1159414175274593E-3</v>
      </c>
      <c r="AB263" s="122">
        <v>1.8114752335067749E-6</v>
      </c>
      <c r="AC263" s="122">
        <v>8.9190868233305104E-2</v>
      </c>
      <c r="BD263" s="122" t="s">
        <v>18</v>
      </c>
      <c r="BE263" s="122" t="s">
        <v>28</v>
      </c>
      <c r="BF263" s="122" t="s">
        <v>14</v>
      </c>
      <c r="BG263" s="122" t="s">
        <v>25</v>
      </c>
      <c r="BH263" s="122" t="s">
        <v>37</v>
      </c>
      <c r="BI263" s="122" t="s">
        <v>52</v>
      </c>
      <c r="BJ263" s="122" t="s">
        <v>260</v>
      </c>
      <c r="BK263" s="122" t="s">
        <v>67</v>
      </c>
      <c r="BL263" s="122" t="s">
        <v>56</v>
      </c>
      <c r="BM263" s="122" t="s">
        <v>73</v>
      </c>
      <c r="BN263" s="122" t="s">
        <v>204</v>
      </c>
      <c r="BO263" s="122" t="s">
        <v>506</v>
      </c>
    </row>
    <row r="264" spans="2:68" x14ac:dyDescent="0.35">
      <c r="B264" s="122" t="s">
        <v>367</v>
      </c>
      <c r="C264" s="122">
        <v>7.5244596293849832E-3</v>
      </c>
      <c r="D264" s="122">
        <v>-1.8702485890031025E-3</v>
      </c>
      <c r="E264" s="122">
        <v>2.1135015723170798E-3</v>
      </c>
      <c r="F264" s="122">
        <v>-5.2837539307926996E-4</v>
      </c>
      <c r="G264" s="122">
        <v>3.111111111111111E-2</v>
      </c>
      <c r="H264" s="122">
        <v>8.8888888888888889E-3</v>
      </c>
      <c r="I264" s="122">
        <v>4.4000000000000003E-3</v>
      </c>
      <c r="J264" s="122">
        <v>7.7725726298020935E-3</v>
      </c>
      <c r="K264" s="122">
        <v>3.4013621607513936E-2</v>
      </c>
      <c r="L264" s="122">
        <v>0</v>
      </c>
      <c r="M264" s="122">
        <v>2.9375323900042061E-3</v>
      </c>
      <c r="N264" s="122">
        <v>9.636306384693992E-2</v>
      </c>
      <c r="P264" s="147"/>
      <c r="Q264" s="122" t="s">
        <v>361</v>
      </c>
      <c r="R264" s="122">
        <v>7.0535426020101408E-3</v>
      </c>
      <c r="S264" s="122">
        <v>-1.0594650200048046E-3</v>
      </c>
      <c r="T264" s="122">
        <v>1.552776665375814E-3</v>
      </c>
      <c r="U264" s="122">
        <v>-3.8819416634395349E-4</v>
      </c>
      <c r="V264" s="122">
        <v>2.6666666666666665E-2</v>
      </c>
      <c r="W264" s="122">
        <v>7.619047619047619E-3</v>
      </c>
      <c r="X264" s="122">
        <v>4.4000000000000003E-3</v>
      </c>
      <c r="Y264" s="122">
        <v>4.1127344164172217E-3</v>
      </c>
      <c r="Z264" s="122">
        <v>3.5584099003046925E-2</v>
      </c>
      <c r="AA264" s="122">
        <v>0</v>
      </c>
      <c r="AB264" s="122">
        <v>5.7102461303557804E-3</v>
      </c>
      <c r="AC264" s="122">
        <v>9.1251453916571412E-2</v>
      </c>
      <c r="BB264" s="122">
        <v>2023</v>
      </c>
      <c r="BC264" s="122" t="s">
        <v>361</v>
      </c>
      <c r="BD264" s="122">
        <v>6.4495368251871292E-3</v>
      </c>
      <c r="BE264" s="122">
        <v>-1.6030702191455165E-3</v>
      </c>
      <c r="BF264" s="122">
        <v>1.552776665375814E-3</v>
      </c>
      <c r="BG264" s="122">
        <v>-3.8819416634395349E-4</v>
      </c>
      <c r="BH264" s="122">
        <v>2.6666666666666665E-2</v>
      </c>
      <c r="BI264" s="122">
        <v>7.619047619047619E-3</v>
      </c>
      <c r="BJ264" s="122">
        <v>4.4000000000000003E-3</v>
      </c>
      <c r="BK264" s="122">
        <v>6.7070446072256132E-3</v>
      </c>
      <c r="BL264" s="122">
        <v>3.4748133323923014E-2</v>
      </c>
      <c r="BM264" s="122">
        <v>0</v>
      </c>
      <c r="BN264" s="122">
        <v>2.9375323900042061E-3</v>
      </c>
      <c r="BO264" s="122">
        <v>8.9089473711940592E-2</v>
      </c>
      <c r="BP264" s="122">
        <f>BD264+BF264+BH264+BI264+BJ264+BK264+BL264+BM264+BN264</f>
        <v>9.1080738097430058E-2</v>
      </c>
    </row>
    <row r="265" spans="2:68" x14ac:dyDescent="0.35">
      <c r="B265" s="122" t="s">
        <v>359</v>
      </c>
      <c r="C265" s="122">
        <v>2.2614787309588272E-2</v>
      </c>
      <c r="D265" s="122">
        <v>-3.4381985932500987E-3</v>
      </c>
      <c r="E265" s="122">
        <v>2.964391815717463E-3</v>
      </c>
      <c r="F265" s="122">
        <v>-7.4109795392936575E-4</v>
      </c>
      <c r="G265" s="122">
        <v>2.5454545454545455E-2</v>
      </c>
      <c r="H265" s="122">
        <v>5.4545454545454541E-3</v>
      </c>
      <c r="I265" s="122">
        <v>4.4000000000000003E-3</v>
      </c>
      <c r="J265" s="122">
        <v>5.6498629919985045E-3</v>
      </c>
      <c r="K265" s="122">
        <v>3.5984983697615519E-2</v>
      </c>
      <c r="L265" s="122">
        <v>7.0560482975951244E-3</v>
      </c>
      <c r="M265" s="122">
        <v>1.3227196424206973E-4</v>
      </c>
      <c r="N265" s="122">
        <v>0.1055321404386684</v>
      </c>
      <c r="BC265" s="122" t="s">
        <v>362</v>
      </c>
      <c r="BD265" s="122">
        <v>2.3691681943378187E-2</v>
      </c>
      <c r="BE265" s="122">
        <v>-3.6019223357858176E-3</v>
      </c>
      <c r="BF265" s="122">
        <v>1.552776665375814E-3</v>
      </c>
      <c r="BG265" s="122">
        <v>-3.8819416634395349E-4</v>
      </c>
      <c r="BH265" s="122">
        <v>2.6666666666666665E-2</v>
      </c>
      <c r="BI265" s="122">
        <v>5.7142857142857143E-3</v>
      </c>
      <c r="BJ265" s="122">
        <v>4.4000000000000003E-3</v>
      </c>
      <c r="BK265" s="122">
        <v>4.5138905873477264E-3</v>
      </c>
      <c r="BL265" s="122">
        <v>4.0006032951821188E-2</v>
      </c>
      <c r="BM265" s="122">
        <v>6.999194841432535E-3</v>
      </c>
      <c r="BN265" s="122">
        <v>1.3227196424206973E-4</v>
      </c>
      <c r="BO265" s="122">
        <v>0.10968668483242013</v>
      </c>
      <c r="BP265" s="122">
        <f t="shared" ref="BP265:BP272" si="3">BD265+BF265+BH265+BI265+BJ265+BK265+BL265+BM265+BN265</f>
        <v>0.1136768013345499</v>
      </c>
    </row>
    <row r="266" spans="2:68" x14ac:dyDescent="0.35">
      <c r="B266" s="122" t="s">
        <v>362</v>
      </c>
      <c r="C266" s="122">
        <v>2.3691681943378187E-2</v>
      </c>
      <c r="D266" s="122">
        <v>-3.6019223357858176E-3</v>
      </c>
      <c r="E266" s="122">
        <v>1.552776665375814E-3</v>
      </c>
      <c r="F266" s="122">
        <v>-3.8819416634395349E-4</v>
      </c>
      <c r="G266" s="122">
        <v>2.6666666666666665E-2</v>
      </c>
      <c r="H266" s="122">
        <v>5.7142857142857143E-3</v>
      </c>
      <c r="I266" s="122">
        <v>4.4000000000000003E-3</v>
      </c>
      <c r="J266" s="122">
        <v>5.6498629919985045E-3</v>
      </c>
      <c r="K266" s="122">
        <v>4.0722189467796682E-2</v>
      </c>
      <c r="L266" s="122">
        <v>7.1244889189110566E-3</v>
      </c>
      <c r="M266" s="122">
        <v>1.3227196424206973E-4</v>
      </c>
      <c r="N266" s="122">
        <v>0.11166410783052493</v>
      </c>
      <c r="BC266" s="122" t="s">
        <v>363</v>
      </c>
      <c r="BD266" s="122">
        <v>2.3374265103106976E-2</v>
      </c>
      <c r="BE266" s="122">
        <v>-3.5424872620014453E-3</v>
      </c>
      <c r="BF266" s="122">
        <v>1.552776665375814E-3</v>
      </c>
      <c r="BG266" s="122">
        <v>-3.8819416634395349E-4</v>
      </c>
      <c r="BH266" s="122">
        <v>2.6666666666666665E-2</v>
      </c>
      <c r="BI266" s="122">
        <v>9.7882661839723516E-3</v>
      </c>
      <c r="BJ266" s="122">
        <v>4.4000000000000003E-3</v>
      </c>
      <c r="BK266" s="122">
        <v>1.6766513853443448E-2</v>
      </c>
      <c r="BL266" s="122">
        <v>5.0269023965708245E-2</v>
      </c>
      <c r="BM266" s="122">
        <v>4.1617098155080079E-3</v>
      </c>
      <c r="BN266" s="122">
        <v>3.4287712042257822E-4</v>
      </c>
      <c r="BO266" s="122">
        <v>0.13339141794585868</v>
      </c>
      <c r="BP266" s="122">
        <f t="shared" si="3"/>
        <v>0.13732209937420409</v>
      </c>
    </row>
    <row r="267" spans="2:68" x14ac:dyDescent="0.35">
      <c r="B267" s="122" t="s">
        <v>364</v>
      </c>
      <c r="C267" s="122">
        <v>8.6820688031365185E-3</v>
      </c>
      <c r="D267" s="122">
        <v>-2.157979141157426E-3</v>
      </c>
      <c r="E267" s="122">
        <v>2.7870350404181278E-3</v>
      </c>
      <c r="F267" s="122">
        <v>-6.9675876010453195E-4</v>
      </c>
      <c r="G267" s="122">
        <v>3.5897435897435902E-2</v>
      </c>
      <c r="H267" s="122">
        <v>1.0256410256410255E-2</v>
      </c>
      <c r="I267" s="122">
        <v>4.4000000000000003E-3</v>
      </c>
      <c r="J267" s="122">
        <v>7.7725726298020935E-3</v>
      </c>
      <c r="K267" s="122">
        <v>4.4932243574966765E-2</v>
      </c>
      <c r="L267" s="122">
        <v>0</v>
      </c>
      <c r="M267" s="122">
        <v>2.9375323900042061E-3</v>
      </c>
      <c r="N267" s="122">
        <v>0.1148105606909119</v>
      </c>
      <c r="BB267" s="122">
        <v>2034</v>
      </c>
      <c r="BC267" s="122" t="s">
        <v>362</v>
      </c>
      <c r="BD267" s="122">
        <v>1.2195666695447615E-2</v>
      </c>
      <c r="BE267" s="122">
        <v>-2.5312150332824808E-3</v>
      </c>
      <c r="BF267" s="122">
        <v>1.552776665375814E-3</v>
      </c>
      <c r="BG267" s="122">
        <v>-3.8819416634395349E-4</v>
      </c>
      <c r="BH267" s="122">
        <v>2.6666666666666665E-2</v>
      </c>
      <c r="BI267" s="122">
        <v>5.7142857142857143E-3</v>
      </c>
      <c r="BJ267" s="122">
        <v>4.4000000000000003E-3</v>
      </c>
      <c r="BK267" s="122">
        <v>3.9641770245885813E-3</v>
      </c>
      <c r="BL267" s="122">
        <v>3.3114522643168463E-2</v>
      </c>
      <c r="BM267" s="122">
        <v>4.4446685102991906E-3</v>
      </c>
      <c r="BN267" s="122">
        <v>1.7593229318620677E-4</v>
      </c>
      <c r="BO267" s="122">
        <v>8.9309287013391803E-2</v>
      </c>
      <c r="BP267" s="122">
        <f t="shared" si="3"/>
        <v>9.2228696213018241E-2</v>
      </c>
    </row>
    <row r="268" spans="2:68" x14ac:dyDescent="0.35">
      <c r="B268" s="122" t="s">
        <v>368</v>
      </c>
      <c r="C268" s="122">
        <v>2.7640295600607889E-2</v>
      </c>
      <c r="D268" s="122">
        <v>-4.2022427250834543E-3</v>
      </c>
      <c r="E268" s="122">
        <v>2.1135015723170798E-3</v>
      </c>
      <c r="F268" s="122">
        <v>-5.2837539307926996E-4</v>
      </c>
      <c r="G268" s="122">
        <v>3.111111111111111E-2</v>
      </c>
      <c r="H268" s="122">
        <v>6.6666666666666662E-3</v>
      </c>
      <c r="I268" s="122">
        <v>4.4000000000000003E-3</v>
      </c>
      <c r="J268" s="122">
        <v>5.6498629919985045E-3</v>
      </c>
      <c r="K268" s="122">
        <v>4.1647411448403268E-2</v>
      </c>
      <c r="L268" s="122">
        <v>8.1663548639935163E-3</v>
      </c>
      <c r="M268" s="122">
        <v>1.3227196424206976E-4</v>
      </c>
      <c r="N268" s="122">
        <v>0.12279685810117737</v>
      </c>
      <c r="BC268" s="122" t="s">
        <v>361</v>
      </c>
      <c r="BD268" s="122">
        <v>6.7111667881585542E-3</v>
      </c>
      <c r="BE268" s="122">
        <v>-1.3676032524712327E-3</v>
      </c>
      <c r="BF268" s="122">
        <v>1.552776665375814E-3</v>
      </c>
      <c r="BG268" s="122">
        <v>-3.8819416634395349E-4</v>
      </c>
      <c r="BH268" s="122">
        <v>2.6666666666666665E-2</v>
      </c>
      <c r="BI268" s="122">
        <v>7.619047619047619E-3</v>
      </c>
      <c r="BJ268" s="122">
        <v>4.4000000000000003E-3</v>
      </c>
      <c r="BK268" s="122">
        <v>2.9533510719556709E-3</v>
      </c>
      <c r="BL268" s="122">
        <v>3.4861448144276573E-2</v>
      </c>
      <c r="BM268" s="122">
        <v>0</v>
      </c>
      <c r="BN268" s="122">
        <v>6.3738697451547754E-3</v>
      </c>
      <c r="BO268" s="122">
        <v>8.93825292818205E-2</v>
      </c>
      <c r="BP268" s="122">
        <f t="shared" si="3"/>
        <v>9.113832670063568E-2</v>
      </c>
    </row>
    <row r="269" spans="2:68" x14ac:dyDescent="0.35">
      <c r="B269" s="122" t="s">
        <v>360</v>
      </c>
      <c r="C269" s="122">
        <v>2.2311798507511204E-2</v>
      </c>
      <c r="D269" s="122">
        <v>-3.3814651137286521E-3</v>
      </c>
      <c r="E269" s="122">
        <v>2.964391815717463E-3</v>
      </c>
      <c r="F269" s="122">
        <v>-7.4109795392936575E-4</v>
      </c>
      <c r="G269" s="122">
        <v>2.5454545454545455E-2</v>
      </c>
      <c r="H269" s="122">
        <v>9.3433449937917901E-3</v>
      </c>
      <c r="I269" s="122">
        <v>4.4000000000000003E-3</v>
      </c>
      <c r="J269" s="122">
        <v>1.9709416352132133E-2</v>
      </c>
      <c r="K269" s="122">
        <v>4.6060878984930748E-2</v>
      </c>
      <c r="L269" s="122">
        <v>4.2738689641131367E-3</v>
      </c>
      <c r="M269" s="122">
        <v>3.4287712042257822E-4</v>
      </c>
      <c r="N269" s="122">
        <v>0.1307385591255065</v>
      </c>
      <c r="BC269" s="122" t="s">
        <v>363</v>
      </c>
      <c r="BD269" s="122">
        <v>1.3602217096595365E-2</v>
      </c>
      <c r="BE269" s="122">
        <v>-2.721219397624406E-3</v>
      </c>
      <c r="BF269" s="122">
        <v>1.552776665375814E-3</v>
      </c>
      <c r="BG269" s="122">
        <v>-3.8819416634395349E-4</v>
      </c>
      <c r="BH269" s="122">
        <v>2.6666666666666665E-2</v>
      </c>
      <c r="BI269" s="122">
        <v>7.7224822441822839E-3</v>
      </c>
      <c r="BJ269" s="122">
        <v>4.4000000000000003E-3</v>
      </c>
      <c r="BK269" s="122">
        <v>1.0972566388332368E-2</v>
      </c>
      <c r="BL269" s="122">
        <v>3.9742443413038342E-2</v>
      </c>
      <c r="BM269" s="122">
        <v>2.4091523343629379E-3</v>
      </c>
      <c r="BN269" s="122">
        <v>4.5605399770604809E-4</v>
      </c>
      <c r="BO269" s="122">
        <v>0.10441494524229147</v>
      </c>
      <c r="BP269" s="122">
        <f t="shared" si="3"/>
        <v>0.10752435880625982</v>
      </c>
    </row>
    <row r="270" spans="2:68" x14ac:dyDescent="0.35">
      <c r="B270" s="122" t="s">
        <v>363</v>
      </c>
      <c r="C270" s="122">
        <v>2.3374265103106976E-2</v>
      </c>
      <c r="D270" s="122">
        <v>-3.5424872620014453E-3</v>
      </c>
      <c r="E270" s="122">
        <v>1.552776665375814E-3</v>
      </c>
      <c r="F270" s="122">
        <v>-3.8819416634395349E-4</v>
      </c>
      <c r="G270" s="122">
        <v>2.6666666666666665E-2</v>
      </c>
      <c r="H270" s="122">
        <v>9.7882661839723516E-3</v>
      </c>
      <c r="I270" s="122">
        <v>4.4000000000000003E-3</v>
      </c>
      <c r="J270" s="122">
        <v>1.9709416352132133E-2</v>
      </c>
      <c r="K270" s="122">
        <v>5.2124332062707626E-2</v>
      </c>
      <c r="L270" s="122">
        <v>4.3153084595425883E-3</v>
      </c>
      <c r="M270" s="122">
        <v>3.4287712042257822E-4</v>
      </c>
      <c r="N270" s="122">
        <v>0.13834322718558134</v>
      </c>
      <c r="BB270" s="122">
        <v>2050</v>
      </c>
      <c r="BC270" s="122" t="s">
        <v>362</v>
      </c>
      <c r="BD270" s="122">
        <v>8.9023613155393838E-3</v>
      </c>
      <c r="BE270" s="122">
        <v>-2.2244856106439686E-3</v>
      </c>
      <c r="BF270" s="122">
        <v>1.552776665375814E-3</v>
      </c>
      <c r="BG270" s="122">
        <v>-3.8819416634395349E-4</v>
      </c>
      <c r="BH270" s="122">
        <v>2.6666666666666665E-2</v>
      </c>
      <c r="BI270" s="122">
        <v>5.7142857142857143E-3</v>
      </c>
      <c r="BJ270" s="122">
        <v>4.4000000000000003E-3</v>
      </c>
      <c r="BK270" s="122">
        <v>3.113117391921032E-3</v>
      </c>
      <c r="BL270" s="122">
        <v>3.0584670404040087E-2</v>
      </c>
      <c r="BM270" s="122">
        <v>2.5593307853502487E-3</v>
      </c>
      <c r="BN270" s="122">
        <v>6.9881416122631238E-7</v>
      </c>
      <c r="BO270" s="122">
        <v>8.0881227980352244E-2</v>
      </c>
      <c r="BP270" s="122">
        <f t="shared" si="3"/>
        <v>8.3493907757340169E-2</v>
      </c>
    </row>
    <row r="271" spans="2:68" x14ac:dyDescent="0.35">
      <c r="B271" s="122" t="s">
        <v>365</v>
      </c>
      <c r="C271" s="122">
        <v>3.1892648769932176E-2</v>
      </c>
      <c r="D271" s="122">
        <v>-4.8487416058655246E-3</v>
      </c>
      <c r="E271" s="122">
        <v>2.7870350404181278E-3</v>
      </c>
      <c r="F271" s="122">
        <v>-6.9675876010453195E-4</v>
      </c>
      <c r="G271" s="122">
        <v>3.5897435897435902E-2</v>
      </c>
      <c r="H271" s="122">
        <v>7.6923076923076927E-3</v>
      </c>
      <c r="I271" s="122">
        <v>4.4000000000000003E-3</v>
      </c>
      <c r="J271" s="122">
        <v>5.6498629919985045E-3</v>
      </c>
      <c r="K271" s="122">
        <v>5.3145387082752821E-2</v>
      </c>
      <c r="L271" s="122">
        <v>9.2979706226684333E-3</v>
      </c>
      <c r="M271" s="122">
        <v>1.3227196424206973E-4</v>
      </c>
      <c r="N271" s="122">
        <v>0.14534941969578566</v>
      </c>
      <c r="BC271" s="122" t="s">
        <v>361</v>
      </c>
      <c r="BD271" s="122">
        <v>7.0535426020101408E-3</v>
      </c>
      <c r="BE271" s="122">
        <v>-1.0594650200048046E-3</v>
      </c>
      <c r="BF271" s="122">
        <v>1.552776665375814E-3</v>
      </c>
      <c r="BG271" s="122">
        <v>-3.8819416634395349E-4</v>
      </c>
      <c r="BH271" s="122">
        <v>2.6666666666666665E-2</v>
      </c>
      <c r="BI271" s="122">
        <v>7.619047619047619E-3</v>
      </c>
      <c r="BJ271" s="122">
        <v>4.4000000000000003E-3</v>
      </c>
      <c r="BK271" s="122">
        <v>1.7136393401738417E-3</v>
      </c>
      <c r="BL271" s="122">
        <v>3.4071626020197837E-2</v>
      </c>
      <c r="BM271" s="122">
        <v>0</v>
      </c>
      <c r="BN271" s="122">
        <v>5.7102461303557804E-3</v>
      </c>
      <c r="BO271" s="122">
        <v>8.7339885857478955E-2</v>
      </c>
      <c r="BP271" s="122">
        <f t="shared" si="3"/>
        <v>8.8787545043827715E-2</v>
      </c>
    </row>
    <row r="272" spans="2:68" x14ac:dyDescent="0.35">
      <c r="B272" s="122" t="s">
        <v>369</v>
      </c>
      <c r="C272" s="122">
        <v>2.7269975953624806E-2</v>
      </c>
      <c r="D272" s="122">
        <v>-4.1329018056683528E-3</v>
      </c>
      <c r="E272" s="122">
        <v>2.1135015723170798E-3</v>
      </c>
      <c r="F272" s="122">
        <v>-5.2837539307926996E-4</v>
      </c>
      <c r="G272" s="122">
        <v>3.111111111111111E-2</v>
      </c>
      <c r="H272" s="122">
        <v>1.1419643881301077E-2</v>
      </c>
      <c r="I272" s="122">
        <v>4.4000000000000003E-3</v>
      </c>
      <c r="J272" s="122">
        <v>1.9709416352132133E-2</v>
      </c>
      <c r="K272" s="122">
        <v>5.2178624762804826E-2</v>
      </c>
      <c r="L272" s="122">
        <v>4.8415186570107405E-3</v>
      </c>
      <c r="M272" s="122">
        <v>3.4287712042257822E-4</v>
      </c>
      <c r="N272" s="122">
        <v>0.14872539221197675</v>
      </c>
      <c r="BC272" s="122" t="s">
        <v>363</v>
      </c>
      <c r="BD272" s="122">
        <v>9.5184690021196325E-3</v>
      </c>
      <c r="BE272" s="122">
        <v>-2.3780107811737857E-3</v>
      </c>
      <c r="BF272" s="122">
        <v>1.552776665375814E-3</v>
      </c>
      <c r="BG272" s="122">
        <v>-3.8819416634395349E-4</v>
      </c>
      <c r="BH272" s="122">
        <v>2.6666666666666665E-2</v>
      </c>
      <c r="BI272" s="122">
        <v>6.8591891840075045E-3</v>
      </c>
      <c r="BJ272" s="122">
        <v>4.4000000000000003E-3</v>
      </c>
      <c r="BK272" s="122">
        <v>6.4282809894911476E-3</v>
      </c>
      <c r="BL272" s="122">
        <v>3.3688781384214522E-2</v>
      </c>
      <c r="BM272" s="122">
        <v>1.0942740570500167E-3</v>
      </c>
      <c r="BN272" s="122">
        <v>1.8114752335067749E-6</v>
      </c>
      <c r="BO272" s="122">
        <v>8.7444044476641086E-2</v>
      </c>
      <c r="BP272" s="122">
        <f t="shared" si="3"/>
        <v>9.0210249424158812E-2</v>
      </c>
    </row>
    <row r="273" spans="1:67" x14ac:dyDescent="0.35">
      <c r="B273" s="122" t="s">
        <v>355</v>
      </c>
      <c r="C273" s="122">
        <v>1.2312752120811793E-2</v>
      </c>
      <c r="D273" s="122">
        <v>-3.0604067820050769E-3</v>
      </c>
      <c r="E273" s="122">
        <v>3.9525224209566176E-3</v>
      </c>
      <c r="F273" s="122">
        <v>-9.8813060523915441E-4</v>
      </c>
      <c r="G273" s="122">
        <v>5.0909090909090911E-2</v>
      </c>
      <c r="H273" s="122">
        <v>1.4545454545454545E-2</v>
      </c>
      <c r="I273" s="122">
        <v>4.4000000000000003E-3</v>
      </c>
      <c r="J273" s="122">
        <v>7.7725726298020926E-3</v>
      </c>
      <c r="K273" s="122">
        <v>7.4452438373778351E-2</v>
      </c>
      <c r="L273" s="122">
        <v>0</v>
      </c>
      <c r="M273" s="122">
        <v>2.9375323900042061E-3</v>
      </c>
      <c r="N273" s="122">
        <v>0.1672338260026543</v>
      </c>
    </row>
    <row r="274" spans="1:67" x14ac:dyDescent="0.35">
      <c r="B274" s="122" t="s">
        <v>366</v>
      </c>
      <c r="C274" s="122">
        <v>3.1465356869567078E-2</v>
      </c>
      <c r="D274" s="122">
        <v>-4.7687328526942532E-3</v>
      </c>
      <c r="E274" s="122">
        <v>2.7870350404181278E-3</v>
      </c>
      <c r="F274" s="122">
        <v>-6.9675876010453195E-4</v>
      </c>
      <c r="G274" s="122">
        <v>3.5897435897435902E-2</v>
      </c>
      <c r="H274" s="122">
        <v>1.3176512170732011E-2</v>
      </c>
      <c r="I274" s="122">
        <v>4.4000000000000003E-3</v>
      </c>
      <c r="J274" s="122">
        <v>1.9709416352132133E-2</v>
      </c>
      <c r="K274" s="122">
        <v>6.5380285247509204E-2</v>
      </c>
      <c r="L274" s="122">
        <v>5.412752295347642E-3</v>
      </c>
      <c r="M274" s="122">
        <v>3.4287712042257822E-4</v>
      </c>
      <c r="N274" s="122">
        <v>0.17310617938076589</v>
      </c>
    </row>
    <row r="275" spans="1:67" x14ac:dyDescent="0.35">
      <c r="B275" s="122" t="s">
        <v>356</v>
      </c>
      <c r="C275" s="122">
        <v>4.5229574619176545E-2</v>
      </c>
      <c r="D275" s="122">
        <v>-6.8763971865001975E-3</v>
      </c>
      <c r="E275" s="122">
        <v>3.9525224209566176E-3</v>
      </c>
      <c r="F275" s="122">
        <v>-9.8813060523915441E-4</v>
      </c>
      <c r="G275" s="122">
        <v>5.0909090909090911E-2</v>
      </c>
      <c r="H275" s="122">
        <v>1.0909090909090908E-2</v>
      </c>
      <c r="I275" s="122">
        <v>4.4000000000000003E-3</v>
      </c>
      <c r="J275" s="122">
        <v>5.6498629919985045E-3</v>
      </c>
      <c r="K275" s="122">
        <v>9.0588258540445679E-2</v>
      </c>
      <c r="L275" s="122">
        <v>1.2716571069092006E-2</v>
      </c>
      <c r="M275" s="122">
        <v>1.3227196424206973E-4</v>
      </c>
      <c r="N275" s="122">
        <v>0.21662271563235388</v>
      </c>
    </row>
    <row r="276" spans="1:67" x14ac:dyDescent="0.35">
      <c r="B276" s="122" t="s">
        <v>357</v>
      </c>
      <c r="C276" s="122">
        <v>4.4623597015022408E-2</v>
      </c>
      <c r="D276" s="122">
        <v>-6.7629302274573042E-3</v>
      </c>
      <c r="E276" s="122">
        <v>3.9525224209566176E-3</v>
      </c>
      <c r="F276" s="122">
        <v>-9.8813060523915441E-4</v>
      </c>
      <c r="G276" s="122">
        <v>5.0909090909090911E-2</v>
      </c>
      <c r="H276" s="122">
        <v>1.868668998758358E-2</v>
      </c>
      <c r="I276" s="122">
        <v>4.4000000000000003E-3</v>
      </c>
      <c r="J276" s="122">
        <v>1.9709416352132133E-2</v>
      </c>
      <c r="K276" s="122">
        <v>0.10752452400092077</v>
      </c>
      <c r="L276" s="122">
        <v>7.142568057495996E-3</v>
      </c>
      <c r="M276" s="122">
        <v>3.4287712042257822E-4</v>
      </c>
      <c r="N276" s="122">
        <v>0.24954022503092854</v>
      </c>
    </row>
    <row r="277" spans="1:67" x14ac:dyDescent="0.35">
      <c r="A277" s="123" t="s">
        <v>379</v>
      </c>
      <c r="B277" s="122" t="s">
        <v>380</v>
      </c>
      <c r="C277" s="122" t="s">
        <v>381</v>
      </c>
      <c r="D277" s="122" t="s">
        <v>382</v>
      </c>
      <c r="E277" s="122" t="s">
        <v>383</v>
      </c>
      <c r="F277" s="122" t="s">
        <v>384</v>
      </c>
      <c r="G277" s="122" t="s">
        <v>385</v>
      </c>
      <c r="H277" s="122" t="s">
        <v>386</v>
      </c>
      <c r="I277" s="122" t="s">
        <v>387</v>
      </c>
      <c r="J277" s="122" t="s">
        <v>388</v>
      </c>
      <c r="K277" s="122" t="s">
        <v>389</v>
      </c>
      <c r="L277" s="122" t="s">
        <v>390</v>
      </c>
      <c r="M277" s="122" t="s">
        <v>391</v>
      </c>
      <c r="N277" s="122" t="s">
        <v>392</v>
      </c>
    </row>
    <row r="278" spans="1:67" x14ac:dyDescent="0.35">
      <c r="B278" s="122" t="s">
        <v>377</v>
      </c>
      <c r="C278" s="122">
        <v>1.0347449498978036E-3</v>
      </c>
      <c r="D278" s="122">
        <v>-9.7956440009122124E-5</v>
      </c>
      <c r="E278" s="122">
        <v>6.8982996659853576E-5</v>
      </c>
      <c r="F278" s="122">
        <v>-6.8982996659853564E-6</v>
      </c>
      <c r="G278" s="122">
        <v>1.0654632223259673E-3</v>
      </c>
      <c r="H278" s="122">
        <v>4.305425874053325E-4</v>
      </c>
      <c r="I278" s="122">
        <v>8.6011184229469056E-5</v>
      </c>
      <c r="J278" s="122">
        <v>1.838708050759685E-3</v>
      </c>
      <c r="K278" s="122">
        <v>4.0404051655123178E-3</v>
      </c>
      <c r="L278" s="122">
        <v>0</v>
      </c>
      <c r="M278" s="122">
        <v>4.1524661257787056E-3</v>
      </c>
      <c r="N278" s="122">
        <v>1.2612469542894028E-2</v>
      </c>
    </row>
    <row r="279" spans="1:67" x14ac:dyDescent="0.35">
      <c r="A279" s="122">
        <v>2034</v>
      </c>
      <c r="B279" s="122" t="s">
        <v>374</v>
      </c>
      <c r="C279" s="122">
        <v>1.0347449498978036E-3</v>
      </c>
      <c r="D279" s="122">
        <v>-9.7956440009122124E-5</v>
      </c>
      <c r="E279" s="122">
        <v>6.8982996659853576E-5</v>
      </c>
      <c r="F279" s="122">
        <v>-6.8982996659853564E-6</v>
      </c>
      <c r="G279" s="122">
        <v>1.0654632223259673E-3</v>
      </c>
      <c r="H279" s="122">
        <v>4.305425874053325E-4</v>
      </c>
      <c r="I279" s="122">
        <v>8.9502842587904882E-5</v>
      </c>
      <c r="J279" s="122">
        <v>1.838708050759685E-3</v>
      </c>
      <c r="K279" s="122">
        <v>4.042048298857466E-3</v>
      </c>
      <c r="L279" s="122">
        <v>0</v>
      </c>
      <c r="M279" s="122">
        <v>4.1524661257787056E-3</v>
      </c>
      <c r="N279" s="122">
        <v>1.2617604334597611E-2</v>
      </c>
      <c r="R279" s="122" t="s">
        <v>18</v>
      </c>
      <c r="S279" s="122" t="s">
        <v>28</v>
      </c>
      <c r="T279" s="122" t="s">
        <v>14</v>
      </c>
      <c r="U279" s="122" t="s">
        <v>25</v>
      </c>
      <c r="V279" s="122" t="s">
        <v>37</v>
      </c>
      <c r="W279" s="122" t="s">
        <v>52</v>
      </c>
      <c r="X279" s="122" t="s">
        <v>260</v>
      </c>
      <c r="Y279" s="122" t="s">
        <v>67</v>
      </c>
      <c r="Z279" s="122" t="s">
        <v>56</v>
      </c>
      <c r="AA279" s="122" t="s">
        <v>73</v>
      </c>
      <c r="AB279" s="122" t="s">
        <v>204</v>
      </c>
      <c r="AC279" s="122" t="s">
        <v>504</v>
      </c>
      <c r="AD279" s="122" t="s">
        <v>505</v>
      </c>
    </row>
    <row r="280" spans="1:67" x14ac:dyDescent="0.35">
      <c r="B280" s="122" t="s">
        <v>336</v>
      </c>
      <c r="C280" s="122">
        <v>1.0902430594344164E-3</v>
      </c>
      <c r="D280" s="122">
        <v>-1.6353645891516245E-4</v>
      </c>
      <c r="E280" s="122">
        <v>7.6311881817276459E-4</v>
      </c>
      <c r="F280" s="122">
        <v>-3.8155940908638231E-5</v>
      </c>
      <c r="G280" s="122">
        <v>1.6256502601040416E-3</v>
      </c>
      <c r="H280" s="122">
        <v>1.6256502601040416E-3</v>
      </c>
      <c r="I280" s="122">
        <v>1.7507002801120447E-3</v>
      </c>
      <c r="J280" s="122">
        <v>1.4325231484959115E-3</v>
      </c>
      <c r="K280" s="122">
        <v>4.6143813066559201E-3</v>
      </c>
      <c r="L280" s="122">
        <v>0</v>
      </c>
      <c r="M280" s="122">
        <v>4.0839236749387171E-5</v>
      </c>
      <c r="N280" s="122">
        <v>1.2741413970004728E-2</v>
      </c>
      <c r="P280" s="122">
        <v>2023</v>
      </c>
      <c r="Q280" s="146" t="s">
        <v>375</v>
      </c>
      <c r="R280" s="146">
        <v>1.0347449498978036E-3</v>
      </c>
      <c r="S280" s="146">
        <v>-1.0336086682377807E-4</v>
      </c>
      <c r="T280" s="146">
        <v>3.4491498329926784E-4</v>
      </c>
      <c r="U280" s="146">
        <v>-3.4491498329926788E-5</v>
      </c>
      <c r="V280" s="146">
        <v>1.0654632223259673E-3</v>
      </c>
      <c r="W280" s="146">
        <v>4.305425874053325E-4</v>
      </c>
      <c r="X280" s="146">
        <v>1.7869725535414797E-4</v>
      </c>
      <c r="Y280" s="146">
        <v>2.0608228308229173E-3</v>
      </c>
      <c r="Z280" s="146">
        <v>5.1168445173227313E-3</v>
      </c>
      <c r="AA280" s="146">
        <v>0</v>
      </c>
      <c r="AB280" s="146">
        <v>1.829443359540834E-3</v>
      </c>
      <c r="AC280" s="146">
        <v>1.1923621340815298E-2</v>
      </c>
    </row>
    <row r="281" spans="1:67" x14ac:dyDescent="0.35">
      <c r="B281" s="122" t="s">
        <v>375</v>
      </c>
      <c r="C281" s="122">
        <v>1.0347449498978036E-3</v>
      </c>
      <c r="D281" s="122">
        <v>-9.7956440009122124E-5</v>
      </c>
      <c r="E281" s="122">
        <v>3.4491498329926784E-4</v>
      </c>
      <c r="F281" s="122">
        <v>-3.4491498329926788E-5</v>
      </c>
      <c r="G281" s="122">
        <v>1.0654632223259673E-3</v>
      </c>
      <c r="H281" s="122">
        <v>4.305425874053325E-4</v>
      </c>
      <c r="I281" s="122">
        <v>1.7869725535414797E-4</v>
      </c>
      <c r="J281" s="122">
        <v>1.838708050759685E-3</v>
      </c>
      <c r="K281" s="122">
        <v>6.6843328246636025E-3</v>
      </c>
      <c r="L281" s="122">
        <v>0</v>
      </c>
      <c r="M281" s="122">
        <v>4.1524661257787056E-3</v>
      </c>
      <c r="N281" s="122">
        <v>1.5597422061145463E-2</v>
      </c>
      <c r="Q281" s="146" t="s">
        <v>371</v>
      </c>
      <c r="R281" s="146">
        <v>1.0347449498978036E-3</v>
      </c>
      <c r="S281" s="146">
        <v>-1.0336086682377807E-4</v>
      </c>
      <c r="T281" s="146">
        <v>3.4491498329926784E-4</v>
      </c>
      <c r="U281" s="146">
        <v>-3.4491498329926788E-5</v>
      </c>
      <c r="V281" s="146">
        <v>1.0654632223259673E-3</v>
      </c>
      <c r="W281" s="146">
        <v>4.305425874053325E-4</v>
      </c>
      <c r="X281" s="146">
        <v>1.7869725535414797E-4</v>
      </c>
      <c r="Y281" s="146">
        <v>4.5972662777521807E-3</v>
      </c>
      <c r="Z281" s="146">
        <v>6.934951781538197E-3</v>
      </c>
      <c r="AA281" s="146">
        <v>0</v>
      </c>
      <c r="AB281" s="146">
        <v>1.7360815489011045E-3</v>
      </c>
      <c r="AC281" s="146">
        <v>1.6184810241320298E-2</v>
      </c>
    </row>
    <row r="282" spans="1:67" x14ac:dyDescent="0.35">
      <c r="B282" s="122" t="s">
        <v>373</v>
      </c>
      <c r="C282" s="122">
        <v>1.0347449498978036E-3</v>
      </c>
      <c r="D282" s="122">
        <v>-9.7956440009122124E-5</v>
      </c>
      <c r="E282" s="122">
        <v>6.8982996659853576E-5</v>
      </c>
      <c r="F282" s="122">
        <v>-6.8982996659853564E-6</v>
      </c>
      <c r="G282" s="122">
        <v>1.0654632223259673E-3</v>
      </c>
      <c r="H282" s="122">
        <v>4.305425874053325E-4</v>
      </c>
      <c r="I282" s="122">
        <v>8.6011184229469056E-5</v>
      </c>
      <c r="J282" s="122">
        <v>4.1017744902474345E-3</v>
      </c>
      <c r="K282" s="122">
        <v>5.0056541193193391E-3</v>
      </c>
      <c r="L282" s="122">
        <v>0</v>
      </c>
      <c r="M282" s="122">
        <v>3.9405537131308793E-3</v>
      </c>
      <c r="N282" s="122">
        <v>1.5628872523540973E-2</v>
      </c>
      <c r="Q282" s="146" t="s">
        <v>327</v>
      </c>
      <c r="R282" s="146">
        <v>2.0676718491395704E-3</v>
      </c>
      <c r="S282" s="146">
        <v>-1.0351994625618128E-4</v>
      </c>
      <c r="T282" s="146">
        <v>3.4491498329926784E-4</v>
      </c>
      <c r="U282" s="146">
        <v>-3.4491498329926788E-5</v>
      </c>
      <c r="V282" s="146">
        <v>1.0654632223259673E-3</v>
      </c>
      <c r="W282" s="146">
        <v>2.9878618113912231E-4</v>
      </c>
      <c r="X282" s="146">
        <v>1.7869725535414797E-4</v>
      </c>
      <c r="Y282" s="146">
        <v>1.1281068013309969E-2</v>
      </c>
      <c r="Z282" s="146">
        <v>1.1471848924667526E-2</v>
      </c>
      <c r="AA282" s="146">
        <v>1.3400606185818564E-3</v>
      </c>
      <c r="AB282" s="146">
        <v>2.4772393588019895E-4</v>
      </c>
      <c r="AC282" s="146">
        <v>2.8158223539111519E-2</v>
      </c>
    </row>
    <row r="283" spans="1:67" x14ac:dyDescent="0.35">
      <c r="B283" s="122" t="s">
        <v>370</v>
      </c>
      <c r="C283" s="122">
        <v>1.0347449498978036E-3</v>
      </c>
      <c r="D283" s="122">
        <v>-9.7956440009122124E-5</v>
      </c>
      <c r="E283" s="122">
        <v>6.8982996659853576E-5</v>
      </c>
      <c r="F283" s="122">
        <v>-6.8982996659853564E-6</v>
      </c>
      <c r="G283" s="122">
        <v>1.0654632223259673E-3</v>
      </c>
      <c r="H283" s="122">
        <v>4.305425874053325E-4</v>
      </c>
      <c r="I283" s="122">
        <v>8.9502842587904882E-5</v>
      </c>
      <c r="J283" s="122">
        <v>4.1017744902474345E-3</v>
      </c>
      <c r="K283" s="122">
        <v>5.0072972526644857E-3</v>
      </c>
      <c r="L283" s="122">
        <v>0</v>
      </c>
      <c r="M283" s="122">
        <v>3.9405537131308793E-3</v>
      </c>
      <c r="N283" s="122">
        <v>1.5634007315244555E-2</v>
      </c>
      <c r="Q283" s="146" t="s">
        <v>326</v>
      </c>
      <c r="R283" s="146">
        <v>2.0678991054715748E-3</v>
      </c>
      <c r="S283" s="146">
        <v>-1.0354267188938173E-4</v>
      </c>
      <c r="T283" s="146">
        <v>3.4491498329926784E-4</v>
      </c>
      <c r="U283" s="146">
        <v>-3.4491498329926788E-5</v>
      </c>
      <c r="V283" s="146">
        <v>1.0654632223259673E-3</v>
      </c>
      <c r="W283" s="146">
        <v>2.9878618113912231E-4</v>
      </c>
      <c r="X283" s="146">
        <v>1.7869725535414797E-4</v>
      </c>
      <c r="Y283" s="146">
        <v>1.2272875676237464E-2</v>
      </c>
      <c r="Z283" s="146">
        <v>1.2206612204370044E-2</v>
      </c>
      <c r="AA283" s="146">
        <v>1.8216255696068655E-3</v>
      </c>
      <c r="AB283" s="146">
        <v>2.4304989935415751E-4</v>
      </c>
      <c r="AC283" s="146">
        <v>3.0361889926939306E-2</v>
      </c>
      <c r="BD283" s="122" t="s">
        <v>18</v>
      </c>
      <c r="BE283" s="122" t="s">
        <v>28</v>
      </c>
      <c r="BF283" s="122" t="s">
        <v>14</v>
      </c>
      <c r="BG283" s="122" t="s">
        <v>25</v>
      </c>
      <c r="BH283" s="122" t="s">
        <v>37</v>
      </c>
      <c r="BI283" s="122" t="s">
        <v>52</v>
      </c>
      <c r="BJ283" s="122" t="s">
        <v>260</v>
      </c>
      <c r="BK283" s="122" t="s">
        <v>67</v>
      </c>
      <c r="BL283" s="122" t="s">
        <v>56</v>
      </c>
      <c r="BM283" s="122" t="s">
        <v>73</v>
      </c>
      <c r="BN283" s="122" t="s">
        <v>204</v>
      </c>
      <c r="BO283" s="122" t="s">
        <v>506</v>
      </c>
    </row>
    <row r="284" spans="1:67" x14ac:dyDescent="0.35">
      <c r="B284" s="122" t="s">
        <v>337</v>
      </c>
      <c r="C284" s="122">
        <v>1.8209695944675583E-3</v>
      </c>
      <c r="D284" s="122">
        <v>-1.5096790045692366E-4</v>
      </c>
      <c r="E284" s="122">
        <v>7.6311881817276459E-4</v>
      </c>
      <c r="F284" s="122">
        <v>-3.8155940908638231E-5</v>
      </c>
      <c r="G284" s="122">
        <v>1.6256502601040416E-3</v>
      </c>
      <c r="H284" s="122">
        <v>2.7152291126929309E-3</v>
      </c>
      <c r="I284" s="122">
        <v>1.7507002801120447E-3</v>
      </c>
      <c r="J284" s="122">
        <v>1.522055845276906E-3</v>
      </c>
      <c r="K284" s="122">
        <v>5.6971707976823521E-3</v>
      </c>
      <c r="L284" s="122">
        <v>2.9029231181694655E-4</v>
      </c>
      <c r="M284" s="122">
        <v>4.3391689046223865E-5</v>
      </c>
      <c r="N284" s="122">
        <v>1.6039454868006207E-2</v>
      </c>
      <c r="Q284" s="146" t="s">
        <v>328</v>
      </c>
      <c r="R284" s="146">
        <v>1.3444866658711308E-3</v>
      </c>
      <c r="S284" s="146">
        <v>-6.7337961459558828E-5</v>
      </c>
      <c r="T284" s="146">
        <v>3.4491498329926784E-4</v>
      </c>
      <c r="U284" s="146">
        <v>-3.4491498329926788E-5</v>
      </c>
      <c r="V284" s="146">
        <v>1.0654632223259673E-3</v>
      </c>
      <c r="W284" s="146">
        <v>4.305425874053325E-4</v>
      </c>
      <c r="X284" s="146">
        <v>1.7869725535414797E-4</v>
      </c>
      <c r="Y284" s="146">
        <v>2.4929435480202329E-2</v>
      </c>
      <c r="Z284" s="146">
        <v>2.1265221188037118E-2</v>
      </c>
      <c r="AA284" s="146">
        <v>1.1906308738093702E-3</v>
      </c>
      <c r="AB284" s="146">
        <v>3.1444724009633705E-4</v>
      </c>
      <c r="AC284" s="146">
        <v>5.0962010036611514E-2</v>
      </c>
      <c r="BB284" s="122">
        <v>2023</v>
      </c>
      <c r="BC284" s="122" t="s">
        <v>375</v>
      </c>
      <c r="BD284" s="122">
        <v>1.0347449498978036E-3</v>
      </c>
      <c r="BE284" s="122">
        <v>-1.0336086682377807E-4</v>
      </c>
      <c r="BF284" s="122">
        <v>3.4491498329926784E-4</v>
      </c>
      <c r="BG284" s="122">
        <v>-3.4491498329926788E-5</v>
      </c>
      <c r="BH284" s="122">
        <v>1.0654632223259673E-3</v>
      </c>
      <c r="BI284" s="122">
        <v>4.305425874053325E-4</v>
      </c>
      <c r="BJ284" s="122">
        <v>1.7869725535414797E-4</v>
      </c>
      <c r="BK284" s="122">
        <v>1.7783083301043669E-3</v>
      </c>
      <c r="BL284" s="122">
        <v>4.906601167950787E-3</v>
      </c>
      <c r="BM284" s="122">
        <v>0</v>
      </c>
      <c r="BN284" s="122">
        <v>1.829443359540834E-3</v>
      </c>
      <c r="BO284" s="122">
        <v>1.1430863490724804E-2</v>
      </c>
    </row>
    <row r="285" spans="1:67" x14ac:dyDescent="0.35">
      <c r="B285" s="122" t="s">
        <v>376</v>
      </c>
      <c r="C285" s="122">
        <v>1.0347449498978036E-3</v>
      </c>
      <c r="D285" s="122">
        <v>-9.7956440009122124E-5</v>
      </c>
      <c r="E285" s="122">
        <v>6.8982996659853576E-5</v>
      </c>
      <c r="F285" s="122">
        <v>-6.8982996659853564E-6</v>
      </c>
      <c r="G285" s="122">
        <v>1.0654632223259673E-3</v>
      </c>
      <c r="H285" s="122">
        <v>4.305425874053325E-4</v>
      </c>
      <c r="I285" s="122">
        <v>8.6011184229469056E-5</v>
      </c>
      <c r="J285" s="122">
        <v>1.838708050759685E-3</v>
      </c>
      <c r="K285" s="122">
        <v>7.9254101323510857E-3</v>
      </c>
      <c r="L285" s="122">
        <v>0</v>
      </c>
      <c r="M285" s="122">
        <v>4.1524661257787056E-3</v>
      </c>
      <c r="N285" s="122">
        <v>1.6497474509732796E-2</v>
      </c>
      <c r="P285" s="122">
        <v>2034</v>
      </c>
      <c r="Q285" s="146" t="s">
        <v>375</v>
      </c>
      <c r="R285" s="146">
        <v>1.0347449498978036E-3</v>
      </c>
      <c r="S285" s="146">
        <v>-9.7956440009122124E-5</v>
      </c>
      <c r="T285" s="146">
        <v>3.4491498329926784E-4</v>
      </c>
      <c r="U285" s="146">
        <v>-3.4491498329926788E-5</v>
      </c>
      <c r="V285" s="146">
        <v>1.0654632223259673E-3</v>
      </c>
      <c r="W285" s="146">
        <v>4.305425874053325E-4</v>
      </c>
      <c r="X285" s="146">
        <v>1.7869725535414797E-4</v>
      </c>
      <c r="Y285" s="146">
        <v>1.838708050759685E-3</v>
      </c>
      <c r="Z285" s="146">
        <v>6.6843328246636025E-3</v>
      </c>
      <c r="AA285" s="146">
        <v>0</v>
      </c>
      <c r="AB285" s="146">
        <v>4.1524661257787056E-3</v>
      </c>
      <c r="AC285" s="146">
        <v>1.5597422061145463E-2</v>
      </c>
      <c r="BC285" s="122" t="s">
        <v>371</v>
      </c>
      <c r="BD285" s="122">
        <v>1.0347449498978036E-3</v>
      </c>
      <c r="BE285" s="122">
        <v>-1.0336086682377807E-4</v>
      </c>
      <c r="BF285" s="122">
        <v>3.4491498329926784E-4</v>
      </c>
      <c r="BG285" s="122">
        <v>-3.4491498329926788E-5</v>
      </c>
      <c r="BH285" s="122">
        <v>1.0654632223259673E-3</v>
      </c>
      <c r="BI285" s="122">
        <v>4.305425874053325E-4</v>
      </c>
      <c r="BJ285" s="122">
        <v>1.7869725535414797E-4</v>
      </c>
      <c r="BK285" s="122">
        <v>3.9670353002494918E-3</v>
      </c>
      <c r="BL285" s="122">
        <v>6.4659426820013136E-3</v>
      </c>
      <c r="BM285" s="122">
        <v>0</v>
      </c>
      <c r="BN285" s="122">
        <v>1.7360815489011045E-3</v>
      </c>
      <c r="BO285" s="122">
        <v>1.5085570164280724E-2</v>
      </c>
    </row>
    <row r="286" spans="1:67" x14ac:dyDescent="0.35">
      <c r="B286" s="122" t="s">
        <v>348</v>
      </c>
      <c r="C286" s="122">
        <v>1.0902430594344164E-3</v>
      </c>
      <c r="D286" s="122">
        <v>-1.6353645891516245E-4</v>
      </c>
      <c r="E286" s="122">
        <v>7.6311881817276459E-4</v>
      </c>
      <c r="F286" s="122">
        <v>-3.8155940908638231E-5</v>
      </c>
      <c r="G286" s="122">
        <v>3.6264505802320927E-3</v>
      </c>
      <c r="H286" s="122">
        <v>1.6256502601040416E-3</v>
      </c>
      <c r="I286" s="122">
        <v>4.0016006402561026E-3</v>
      </c>
      <c r="J286" s="122">
        <v>1.4325231484959115E-3</v>
      </c>
      <c r="K286" s="122">
        <v>4.8436286987815179E-3</v>
      </c>
      <c r="L286" s="122">
        <v>0</v>
      </c>
      <c r="M286" s="122">
        <v>4.0839236749387171E-5</v>
      </c>
      <c r="N286" s="122">
        <v>1.7222362042402437E-2</v>
      </c>
      <c r="Q286" s="146" t="s">
        <v>371</v>
      </c>
      <c r="R286" s="146">
        <v>1.0347449498978036E-3</v>
      </c>
      <c r="S286" s="146">
        <v>-9.7956440009122124E-5</v>
      </c>
      <c r="T286" s="146">
        <v>3.4491498329926784E-4</v>
      </c>
      <c r="U286" s="146">
        <v>-3.4491498329926788E-5</v>
      </c>
      <c r="V286" s="146">
        <v>1.0654632223259673E-3</v>
      </c>
      <c r="W286" s="146">
        <v>4.305425874053325E-4</v>
      </c>
      <c r="X286" s="146">
        <v>1.7869725535414797E-4</v>
      </c>
      <c r="Y286" s="146">
        <v>4.1017744902474345E-3</v>
      </c>
      <c r="Z286" s="146">
        <v>8.2107730306840102E-3</v>
      </c>
      <c r="AA286" s="146">
        <v>0</v>
      </c>
      <c r="AB286" s="146">
        <v>3.9405537131308793E-3</v>
      </c>
      <c r="AC286" s="146">
        <v>1.9175016294005795E-2</v>
      </c>
      <c r="BC286" s="122" t="s">
        <v>343</v>
      </c>
      <c r="BD286" s="122">
        <v>7.6317014160409149E-4</v>
      </c>
      <c r="BE286" s="122">
        <v>-1.1346797345547289E-4</v>
      </c>
      <c r="BF286" s="122">
        <v>5.087458787818432E-4</v>
      </c>
      <c r="BG286" s="122">
        <v>-2.5437293939092156E-5</v>
      </c>
      <c r="BH286" s="122">
        <v>1.525610244097639E-3</v>
      </c>
      <c r="BI286" s="122">
        <v>2.6260504201680674E-3</v>
      </c>
      <c r="BJ286" s="122">
        <v>1.6256502601040416E-3</v>
      </c>
      <c r="BK286" s="122">
        <v>1.9863208475390157E-3</v>
      </c>
      <c r="BL286" s="122">
        <v>1.3192239137747501E-2</v>
      </c>
      <c r="BM286" s="122">
        <v>0</v>
      </c>
      <c r="BN286" s="122">
        <v>8.6996317577796474E-4</v>
      </c>
      <c r="BO286" s="122">
        <v>2.2958844838425599E-2</v>
      </c>
    </row>
    <row r="287" spans="1:67" x14ac:dyDescent="0.35">
      <c r="B287" s="122" t="s">
        <v>344</v>
      </c>
      <c r="C287" s="122">
        <v>1.0902430594344164E-3</v>
      </c>
      <c r="D287" s="122">
        <v>-1.6353645891516245E-4</v>
      </c>
      <c r="E287" s="122">
        <v>5.087458787818432E-4</v>
      </c>
      <c r="F287" s="122">
        <v>-2.5437293939092156E-5</v>
      </c>
      <c r="G287" s="122">
        <v>1.525610244097639E-3</v>
      </c>
      <c r="H287" s="122">
        <v>1.6256502601040416E-3</v>
      </c>
      <c r="I287" s="122">
        <v>1.6256502601040416E-3</v>
      </c>
      <c r="J287" s="122">
        <v>1.4325231484959115E-3</v>
      </c>
      <c r="K287" s="122">
        <v>1.0361875177500689E-2</v>
      </c>
      <c r="L287" s="122">
        <v>0</v>
      </c>
      <c r="M287" s="122">
        <v>4.0839236749387171E-5</v>
      </c>
      <c r="N287" s="122">
        <v>1.8022163512413716E-2</v>
      </c>
      <c r="Q287" s="146" t="s">
        <v>327</v>
      </c>
      <c r="R287" s="146">
        <v>1.9812010201050753E-3</v>
      </c>
      <c r="S287" s="146">
        <v>-1.0568171698204363E-4</v>
      </c>
      <c r="T287" s="146">
        <v>3.4491498329926784E-4</v>
      </c>
      <c r="U287" s="146">
        <v>-3.4491498329926788E-5</v>
      </c>
      <c r="V287" s="146">
        <v>1.0654632223259673E-3</v>
      </c>
      <c r="W287" s="146">
        <v>2.9878618113912231E-4</v>
      </c>
      <c r="X287" s="146">
        <v>1.7869725535414797E-4</v>
      </c>
      <c r="Y287" s="146">
        <v>1.0257993776547255E-2</v>
      </c>
      <c r="Z287" s="146">
        <v>1.0705383345754259E-2</v>
      </c>
      <c r="AA287" s="146">
        <v>1.2327946859695196E-3</v>
      </c>
      <c r="AB287" s="146">
        <v>3.29492650738565E-4</v>
      </c>
      <c r="AC287" s="146">
        <v>2.6254553905921209E-2</v>
      </c>
      <c r="BC287" s="122" t="s">
        <v>361</v>
      </c>
      <c r="BD287" s="122">
        <v>6.4495368251871292E-3</v>
      </c>
      <c r="BE287" s="122">
        <v>-1.6030702191455165E-3</v>
      </c>
      <c r="BF287" s="122">
        <v>1.552776665375814E-3</v>
      </c>
      <c r="BG287" s="122">
        <v>-3.8819416634395349E-4</v>
      </c>
      <c r="BH287" s="122">
        <v>2.6666666666666665E-2</v>
      </c>
      <c r="BI287" s="122">
        <v>7.619047619047619E-3</v>
      </c>
      <c r="BJ287" s="122">
        <v>4.4000000000000003E-3</v>
      </c>
      <c r="BK287" s="122">
        <v>6.7070446072256132E-3</v>
      </c>
      <c r="BL287" s="122">
        <v>3.4748133323923014E-2</v>
      </c>
      <c r="BM287" s="122">
        <v>0</v>
      </c>
      <c r="BN287" s="122">
        <v>2.9375323900042061E-3</v>
      </c>
      <c r="BO287" s="122">
        <v>8.9089473711940592E-2</v>
      </c>
    </row>
    <row r="288" spans="1:67" x14ac:dyDescent="0.35">
      <c r="B288" s="122" t="s">
        <v>335</v>
      </c>
      <c r="C288" s="122">
        <v>7.6317014160409149E-4</v>
      </c>
      <c r="D288" s="122">
        <v>-8.0920645629828101E-5</v>
      </c>
      <c r="E288" s="122">
        <v>7.6311881817276459E-4</v>
      </c>
      <c r="F288" s="122">
        <v>-3.8155940908638231E-5</v>
      </c>
      <c r="G288" s="122">
        <v>1.6256502601040416E-3</v>
      </c>
      <c r="H288" s="122">
        <v>2.6260504201680674E-3</v>
      </c>
      <c r="I288" s="122">
        <v>1.7507002801120447E-3</v>
      </c>
      <c r="J288" s="122">
        <v>2.0694919175098612E-3</v>
      </c>
      <c r="K288" s="122">
        <v>6.5212037114611727E-3</v>
      </c>
      <c r="L288" s="122">
        <v>0</v>
      </c>
      <c r="M288" s="122">
        <v>2.0378339096479639E-3</v>
      </c>
      <c r="N288" s="122">
        <v>1.8038142872241543E-2</v>
      </c>
      <c r="Q288" s="146" t="s">
        <v>326</v>
      </c>
      <c r="R288" s="146">
        <v>1.9922371300663917E-3</v>
      </c>
      <c r="S288" s="146">
        <v>-1.067853279781753E-4</v>
      </c>
      <c r="T288" s="146">
        <v>3.4491498329926784E-4</v>
      </c>
      <c r="U288" s="146">
        <v>-3.4491498329926788E-5</v>
      </c>
      <c r="V288" s="146">
        <v>1.0654632223259673E-3</v>
      </c>
      <c r="W288" s="146">
        <v>2.9878618113912231E-4</v>
      </c>
      <c r="X288" s="146">
        <v>1.7869725535414797E-4</v>
      </c>
      <c r="Y288" s="146">
        <v>1.0358284649412651E-2</v>
      </c>
      <c r="Z288" s="146">
        <v>1.0782783553652911E-2</v>
      </c>
      <c r="AA288" s="146">
        <v>1.5718624642608366E-3</v>
      </c>
      <c r="AB288" s="146">
        <v>3.2327580827179973E-4</v>
      </c>
      <c r="AC288" s="146">
        <v>2.677502842147499E-2</v>
      </c>
    </row>
    <row r="289" spans="2:85" x14ac:dyDescent="0.35">
      <c r="B289" s="122" t="s">
        <v>338</v>
      </c>
      <c r="C289" s="122">
        <v>1.6052596798267933E-3</v>
      </c>
      <c r="D289" s="122">
        <v>-1.1861141326080898E-4</v>
      </c>
      <c r="E289" s="122">
        <v>7.6311881817276459E-4</v>
      </c>
      <c r="F289" s="122">
        <v>-3.8155940908638231E-5</v>
      </c>
      <c r="G289" s="122">
        <v>1.6256502601040416E-3</v>
      </c>
      <c r="H289" s="122">
        <v>2.5777082888133671E-3</v>
      </c>
      <c r="I289" s="122">
        <v>1.7507002801120447E-3</v>
      </c>
      <c r="J289" s="122">
        <v>3.4230929504727972E-3</v>
      </c>
      <c r="K289" s="122">
        <v>6.6168950311522902E-3</v>
      </c>
      <c r="L289" s="122">
        <v>2.1387943535037743E-4</v>
      </c>
      <c r="M289" s="122">
        <v>9.8294139121103233E-5</v>
      </c>
      <c r="N289" s="122">
        <v>1.8517831528956131E-2</v>
      </c>
      <c r="Q289" s="146" t="s">
        <v>328</v>
      </c>
      <c r="R289" s="146">
        <v>1.3120601049831952E-3</v>
      </c>
      <c r="S289" s="146">
        <v>-7.1121060229817985E-5</v>
      </c>
      <c r="T289" s="146">
        <v>3.4491498329926784E-4</v>
      </c>
      <c r="U289" s="146">
        <v>-3.4491498329926788E-5</v>
      </c>
      <c r="V289" s="146">
        <v>1.0654632223259673E-3</v>
      </c>
      <c r="W289" s="146">
        <v>4.305425874053325E-4</v>
      </c>
      <c r="X289" s="146">
        <v>1.7869725535414797E-4</v>
      </c>
      <c r="Y289" s="146">
        <v>1.6567975451505536E-2</v>
      </c>
      <c r="Z289" s="146">
        <v>1.5093033693524077E-2</v>
      </c>
      <c r="AA289" s="146">
        <v>8.4505266773637205E-4</v>
      </c>
      <c r="AB289" s="146">
        <v>4.1823998269942579E-4</v>
      </c>
      <c r="AC289" s="146">
        <v>3.6150367390273573E-2</v>
      </c>
    </row>
    <row r="290" spans="2:85" x14ac:dyDescent="0.35">
      <c r="B290" s="122" t="s">
        <v>352</v>
      </c>
      <c r="C290" s="122">
        <v>8.7219444754753307E-4</v>
      </c>
      <c r="D290" s="122">
        <v>-1.3082916713212997E-4</v>
      </c>
      <c r="E290" s="122">
        <v>5.0874587878184309E-4</v>
      </c>
      <c r="F290" s="122">
        <v>-2.5437293939092159E-5</v>
      </c>
      <c r="G290" s="122">
        <v>1.3005202080832333E-3</v>
      </c>
      <c r="H290" s="122">
        <v>1.3005202080832333E-3</v>
      </c>
      <c r="I290" s="122">
        <v>1.4005602240896359E-3</v>
      </c>
      <c r="J290" s="122">
        <v>1.1460185187967293E-3</v>
      </c>
      <c r="K290" s="122">
        <v>1.2457751823378159E-2</v>
      </c>
      <c r="L290" s="122">
        <v>0</v>
      </c>
      <c r="M290" s="122">
        <v>3.2671389399509734E-5</v>
      </c>
      <c r="N290" s="122">
        <v>1.8862716237088656E-2</v>
      </c>
      <c r="P290" s="122">
        <v>2050</v>
      </c>
      <c r="Q290" s="146" t="s">
        <v>375</v>
      </c>
      <c r="R290" s="146">
        <v>1.0347449498978036E-3</v>
      </c>
      <c r="S290" s="146">
        <v>-5.2575506979843073E-5</v>
      </c>
      <c r="T290" s="146">
        <v>3.4491498329926784E-4</v>
      </c>
      <c r="U290" s="146">
        <v>-3.4491498329926788E-5</v>
      </c>
      <c r="V290" s="146">
        <v>1.0654632223259673E-3</v>
      </c>
      <c r="W290" s="146">
        <v>4.305425874053325E-4</v>
      </c>
      <c r="X290" s="146">
        <v>1.7869725535414797E-4</v>
      </c>
      <c r="Y290" s="146">
        <v>1.6880924837231871E-3</v>
      </c>
      <c r="Z290" s="146">
        <v>6.4766025942449342E-3</v>
      </c>
      <c r="AA290" s="146">
        <v>0</v>
      </c>
      <c r="AB290" s="146">
        <v>3.9785632626608411E-3</v>
      </c>
      <c r="AC290" s="146">
        <v>1.511055433360171E-2</v>
      </c>
    </row>
    <row r="291" spans="2:85" x14ac:dyDescent="0.35">
      <c r="B291" s="122" t="s">
        <v>371</v>
      </c>
      <c r="C291" s="122">
        <v>1.0347449498978036E-3</v>
      </c>
      <c r="D291" s="122">
        <v>-9.7956440009122124E-5</v>
      </c>
      <c r="E291" s="122">
        <v>3.4491498329926784E-4</v>
      </c>
      <c r="F291" s="122">
        <v>-3.4491498329926788E-5</v>
      </c>
      <c r="G291" s="122">
        <v>1.0654632223259673E-3</v>
      </c>
      <c r="H291" s="122">
        <v>4.305425874053325E-4</v>
      </c>
      <c r="I291" s="122">
        <v>1.7869725535414797E-4</v>
      </c>
      <c r="J291" s="122">
        <v>4.1017744902474345E-3</v>
      </c>
      <c r="K291" s="122">
        <v>8.2107730306840102E-3</v>
      </c>
      <c r="L291" s="122">
        <v>0</v>
      </c>
      <c r="M291" s="122">
        <v>3.9405537131308793E-3</v>
      </c>
      <c r="N291" s="122">
        <v>1.9175016294005795E-2</v>
      </c>
      <c r="Q291" s="146" t="s">
        <v>326</v>
      </c>
      <c r="R291" s="146">
        <v>1.3569040676564852E-3</v>
      </c>
      <c r="S291" s="146">
        <v>-1.3401388779574273E-4</v>
      </c>
      <c r="T291" s="146">
        <v>3.4491498329926784E-4</v>
      </c>
      <c r="U291" s="146">
        <v>-3.4491498329926788E-5</v>
      </c>
      <c r="V291" s="146">
        <v>1.0654632223259673E-3</v>
      </c>
      <c r="W291" s="146">
        <v>2.9878618113912231E-4</v>
      </c>
      <c r="X291" s="146">
        <v>1.7869725535414797E-4</v>
      </c>
      <c r="Y291" s="146">
        <v>6.5156977611726787E-3</v>
      </c>
      <c r="Z291" s="146">
        <v>7.1904931373954553E-3</v>
      </c>
      <c r="AA291" s="146">
        <v>8.438939851007736E-4</v>
      </c>
      <c r="AB291" s="146">
        <v>1.2840718932885571E-6</v>
      </c>
      <c r="AC291" s="146">
        <v>1.7627629279211517E-2</v>
      </c>
    </row>
    <row r="292" spans="2:85" x14ac:dyDescent="0.35">
      <c r="B292" s="122" t="s">
        <v>340</v>
      </c>
      <c r="C292" s="122">
        <v>1.0902430594344164E-3</v>
      </c>
      <c r="D292" s="122">
        <v>-1.6353645891516245E-4</v>
      </c>
      <c r="E292" s="122">
        <v>1.0174917575636864E-3</v>
      </c>
      <c r="F292" s="122">
        <v>-5.0874587878184312E-5</v>
      </c>
      <c r="G292" s="122">
        <v>1.5506202480992397E-3</v>
      </c>
      <c r="H292" s="122">
        <v>1.6256502601040416E-3</v>
      </c>
      <c r="I292" s="122">
        <v>1.6256502601040416E-3</v>
      </c>
      <c r="J292" s="122">
        <v>1.4325231484959115E-3</v>
      </c>
      <c r="K292" s="122">
        <v>1.1113291008721595E-2</v>
      </c>
      <c r="L292" s="122">
        <v>0</v>
      </c>
      <c r="M292" s="122">
        <v>4.0839236749387171E-5</v>
      </c>
      <c r="N292" s="122">
        <v>1.9281897932478972E-2</v>
      </c>
      <c r="Q292" s="146" t="s">
        <v>327</v>
      </c>
      <c r="R292" s="146">
        <v>1.2551060916366106E-3</v>
      </c>
      <c r="S292" s="146">
        <v>-1.2383409019375524E-4</v>
      </c>
      <c r="T292" s="146">
        <v>3.4491498329926784E-4</v>
      </c>
      <c r="U292" s="146">
        <v>-3.4491498329926788E-5</v>
      </c>
      <c r="V292" s="146">
        <v>1.0654632223259673E-3</v>
      </c>
      <c r="W292" s="146">
        <v>2.9878618113912231E-4</v>
      </c>
      <c r="X292" s="146">
        <v>1.7869725535414797E-4</v>
      </c>
      <c r="Y292" s="146">
        <v>6.8423242323661987E-3</v>
      </c>
      <c r="Z292" s="146">
        <v>7.3654014063933224E-3</v>
      </c>
      <c r="AA292" s="146">
        <v>7.4680929840831821E-4</v>
      </c>
      <c r="AB292" s="146">
        <v>1.3087655835441336E-6</v>
      </c>
      <c r="AC292" s="146">
        <v>1.7940485847982818E-2</v>
      </c>
      <c r="BS292" s="122" t="s">
        <v>480</v>
      </c>
    </row>
    <row r="293" spans="2:85" x14ac:dyDescent="0.35">
      <c r="B293" s="122" t="s">
        <v>349</v>
      </c>
      <c r="C293" s="122">
        <v>1.8209695944675583E-3</v>
      </c>
      <c r="D293" s="122">
        <v>-1.5096790045692366E-4</v>
      </c>
      <c r="E293" s="122">
        <v>7.6311881817276459E-4</v>
      </c>
      <c r="F293" s="122">
        <v>-3.8155940908638231E-5</v>
      </c>
      <c r="G293" s="122">
        <v>3.6264505802320927E-3</v>
      </c>
      <c r="H293" s="122">
        <v>2.7152291126929309E-3</v>
      </c>
      <c r="I293" s="122">
        <v>4.0016006402561026E-3</v>
      </c>
      <c r="J293" s="122">
        <v>1.522055845276906E-3</v>
      </c>
      <c r="K293" s="122">
        <v>5.5922239024541135E-3</v>
      </c>
      <c r="L293" s="122">
        <v>4.1215240443067541E-4</v>
      </c>
      <c r="M293" s="122">
        <v>4.3391689046223865E-5</v>
      </c>
      <c r="N293" s="122">
        <v>2.0308068745663804E-2</v>
      </c>
      <c r="Q293" s="146" t="s">
        <v>371</v>
      </c>
      <c r="R293" s="146">
        <v>1.0347449498978036E-3</v>
      </c>
      <c r="S293" s="146">
        <v>-5.2575506979843073E-5</v>
      </c>
      <c r="T293" s="146">
        <v>3.4491498329926784E-4</v>
      </c>
      <c r="U293" s="146">
        <v>-3.4491498329926788E-5</v>
      </c>
      <c r="V293" s="146">
        <v>1.0654632223259673E-3</v>
      </c>
      <c r="W293" s="146">
        <v>4.305425874053325E-4</v>
      </c>
      <c r="X293" s="146">
        <v>1.7869725535414797E-4</v>
      </c>
      <c r="Y293" s="146">
        <v>3.7657825471821881E-3</v>
      </c>
      <c r="Z293" s="146">
        <v>7.8716927667052683E-3</v>
      </c>
      <c r="AA293" s="146">
        <v>0</v>
      </c>
      <c r="AB293" s="146">
        <v>3.7755256184454147E-3</v>
      </c>
      <c r="AC293" s="146">
        <v>1.8380296925305621E-2</v>
      </c>
      <c r="BB293" s="122" t="s">
        <v>480</v>
      </c>
    </row>
    <row r="294" spans="2:85" x14ac:dyDescent="0.35">
      <c r="B294" s="122" t="s">
        <v>372</v>
      </c>
      <c r="C294" s="122">
        <v>1.0347449498978036E-3</v>
      </c>
      <c r="D294" s="122">
        <v>-9.7956440009122124E-5</v>
      </c>
      <c r="E294" s="122">
        <v>6.8982996659853576E-5</v>
      </c>
      <c r="F294" s="122">
        <v>-6.8982996659853564E-6</v>
      </c>
      <c r="G294" s="122">
        <v>1.0654632223259673E-3</v>
      </c>
      <c r="H294" s="122">
        <v>4.305425874053325E-4</v>
      </c>
      <c r="I294" s="122">
        <v>8.6011184229469056E-5</v>
      </c>
      <c r="J294" s="122">
        <v>4.1017744902474345E-3</v>
      </c>
      <c r="K294" s="122">
        <v>9.8187830802033259E-3</v>
      </c>
      <c r="L294" s="122">
        <v>0</v>
      </c>
      <c r="M294" s="122">
        <v>3.9405537131308793E-3</v>
      </c>
      <c r="N294" s="122">
        <v>2.044200148442496E-2</v>
      </c>
      <c r="Q294" s="146" t="s">
        <v>328</v>
      </c>
      <c r="R294" s="146">
        <v>1.0397745068075209E-3</v>
      </c>
      <c r="S294" s="146">
        <v>-1.0288771335031333E-4</v>
      </c>
      <c r="T294" s="146">
        <v>3.4491498329926784E-4</v>
      </c>
      <c r="U294" s="146">
        <v>-3.4491498329926788E-5</v>
      </c>
      <c r="V294" s="146">
        <v>1.0654632223259673E-3</v>
      </c>
      <c r="W294" s="146">
        <v>4.305425874053325E-4</v>
      </c>
      <c r="X294" s="146">
        <v>1.7869725535414797E-4</v>
      </c>
      <c r="Y294" s="146">
        <v>9.7494494830798577E-3</v>
      </c>
      <c r="Z294" s="146">
        <v>9.4824983061085784E-3</v>
      </c>
      <c r="AA294" s="146">
        <v>5.3092112911805843E-4</v>
      </c>
      <c r="AB294" s="146">
        <v>1.6612755816924542E-6</v>
      </c>
      <c r="AC294" s="146">
        <v>2.2686543537400187E-2</v>
      </c>
    </row>
    <row r="295" spans="2:85" x14ac:dyDescent="0.35">
      <c r="B295" s="122" t="s">
        <v>333</v>
      </c>
      <c r="C295" s="122">
        <v>1.9812010201050753E-3</v>
      </c>
      <c r="D295" s="122">
        <v>-1.0568171698204363E-4</v>
      </c>
      <c r="E295" s="122">
        <v>6.8982996659853576E-5</v>
      </c>
      <c r="F295" s="122">
        <v>-6.8982996659853564E-6</v>
      </c>
      <c r="G295" s="122">
        <v>1.0654632223259673E-3</v>
      </c>
      <c r="H295" s="122">
        <v>2.9878618113912231E-4</v>
      </c>
      <c r="I295" s="122">
        <v>8.6011184229469056E-5</v>
      </c>
      <c r="J295" s="122">
        <v>1.0257993776547255E-2</v>
      </c>
      <c r="K295" s="122">
        <v>6.5831282891431735E-3</v>
      </c>
      <c r="L295" s="122">
        <v>1.198840223252895E-3</v>
      </c>
      <c r="M295" s="122">
        <v>3.29492650738565E-4</v>
      </c>
      <c r="N295" s="122">
        <v>2.1757319527493348E-2</v>
      </c>
      <c r="BU295" s="122" t="s">
        <v>18</v>
      </c>
      <c r="BV295" s="122" t="s">
        <v>28</v>
      </c>
      <c r="BW295" s="122" t="s">
        <v>528</v>
      </c>
      <c r="BX295" s="122" t="s">
        <v>25</v>
      </c>
      <c r="BY295" s="122" t="s">
        <v>529</v>
      </c>
      <c r="BZ295" s="122" t="s">
        <v>52</v>
      </c>
      <c r="CA295" s="122" t="s">
        <v>530</v>
      </c>
      <c r="CB295" s="122" t="s">
        <v>67</v>
      </c>
      <c r="CC295" s="122" t="s">
        <v>531</v>
      </c>
      <c r="CD295" s="122" t="s">
        <v>73</v>
      </c>
      <c r="CE295" s="122" t="s">
        <v>204</v>
      </c>
      <c r="CF295" s="122" t="s">
        <v>504</v>
      </c>
      <c r="CG295" s="122" t="s">
        <v>505</v>
      </c>
    </row>
    <row r="296" spans="2:85" x14ac:dyDescent="0.35">
      <c r="B296" s="122" t="s">
        <v>324</v>
      </c>
      <c r="C296" s="122">
        <v>1.9812010201050753E-3</v>
      </c>
      <c r="D296" s="122">
        <v>-1.0568171698204363E-4</v>
      </c>
      <c r="E296" s="122">
        <v>6.8982996659853576E-5</v>
      </c>
      <c r="F296" s="122">
        <v>-6.8982996659853564E-6</v>
      </c>
      <c r="G296" s="122">
        <v>1.0654632223259673E-3</v>
      </c>
      <c r="H296" s="122">
        <v>2.9878618113912231E-4</v>
      </c>
      <c r="I296" s="122">
        <v>8.9502842587904882E-5</v>
      </c>
      <c r="J296" s="122">
        <v>1.0257993776547255E-2</v>
      </c>
      <c r="K296" s="122">
        <v>6.5847714224883201E-3</v>
      </c>
      <c r="L296" s="122">
        <v>1.1991394509543486E-3</v>
      </c>
      <c r="M296" s="122">
        <v>3.29492650738565E-4</v>
      </c>
      <c r="N296" s="122">
        <v>2.1762753546898383E-2</v>
      </c>
      <c r="BD296" s="122" t="s">
        <v>18</v>
      </c>
      <c r="BE296" s="122" t="s">
        <v>28</v>
      </c>
      <c r="BF296" s="122" t="s">
        <v>14</v>
      </c>
      <c r="BG296" s="122" t="s">
        <v>25</v>
      </c>
      <c r="BH296" s="122" t="s">
        <v>37</v>
      </c>
      <c r="BI296" s="122" t="s">
        <v>52</v>
      </c>
      <c r="BJ296" s="122" t="s">
        <v>260</v>
      </c>
      <c r="BK296" s="122" t="s">
        <v>67</v>
      </c>
      <c r="BL296" s="122" t="s">
        <v>56</v>
      </c>
      <c r="BM296" s="122" t="s">
        <v>73</v>
      </c>
      <c r="BN296" s="122" t="s">
        <v>204</v>
      </c>
      <c r="BO296" s="122" t="s">
        <v>506</v>
      </c>
      <c r="BS296" s="147">
        <v>2023</v>
      </c>
      <c r="BT296" s="122" t="s">
        <v>361</v>
      </c>
      <c r="BU296" s="122">
        <v>6.4495368251871292E-3</v>
      </c>
      <c r="BV296" s="122">
        <v>-1.6030702191455165E-3</v>
      </c>
      <c r="BW296" s="122">
        <v>1.552776665375814E-3</v>
      </c>
      <c r="BX296" s="122">
        <v>-3.8819416634395349E-4</v>
      </c>
      <c r="BY296" s="122">
        <v>2.6666666666666665E-2</v>
      </c>
      <c r="BZ296" s="122">
        <v>7.619047619047619E-3</v>
      </c>
      <c r="CA296" s="122">
        <v>4.4000000000000003E-3</v>
      </c>
      <c r="CB296" s="122">
        <v>7.4999956937941573E-3</v>
      </c>
      <c r="CC296" s="122">
        <v>3.5248037269803176E-2</v>
      </c>
      <c r="CD296" s="122">
        <v>0</v>
      </c>
      <c r="CE296" s="122">
        <v>2.9375323900042061E-3</v>
      </c>
      <c r="CF296" s="122">
        <f t="shared" ref="CF296:CF301" si="4">BP297-BP264</f>
        <v>1.2928550324487059E-3</v>
      </c>
      <c r="CG296" s="122">
        <f>BP330-BP297</f>
        <v>4.4441891740423789E-4</v>
      </c>
    </row>
    <row r="297" spans="2:85" x14ac:dyDescent="0.35">
      <c r="B297" s="122" t="s">
        <v>347</v>
      </c>
      <c r="C297" s="122">
        <v>7.6317014160409149E-4</v>
      </c>
      <c r="D297" s="122">
        <v>-8.0920645629828101E-5</v>
      </c>
      <c r="E297" s="122">
        <v>7.6311881817276459E-4</v>
      </c>
      <c r="F297" s="122">
        <v>-3.8155940908638231E-5</v>
      </c>
      <c r="G297" s="122">
        <v>3.6264505802320927E-3</v>
      </c>
      <c r="H297" s="122">
        <v>2.6260504201680674E-3</v>
      </c>
      <c r="I297" s="122">
        <v>4.0016006402561026E-3</v>
      </c>
      <c r="J297" s="122">
        <v>2.0694919175098612E-3</v>
      </c>
      <c r="K297" s="122">
        <v>6.1619256700049009E-3</v>
      </c>
      <c r="L297" s="122">
        <v>0</v>
      </c>
      <c r="M297" s="122">
        <v>2.0378339096479639E-3</v>
      </c>
      <c r="N297" s="122">
        <v>2.1930565511057376E-2</v>
      </c>
      <c r="BB297" s="122">
        <v>2023</v>
      </c>
      <c r="BC297" s="122" t="s">
        <v>361</v>
      </c>
      <c r="BD297" s="122">
        <v>6.4495368251871292E-3</v>
      </c>
      <c r="BE297" s="122">
        <v>-1.6030702191455165E-3</v>
      </c>
      <c r="BF297" s="122">
        <v>1.552776665375814E-3</v>
      </c>
      <c r="BG297" s="122">
        <v>-3.8819416634395349E-4</v>
      </c>
      <c r="BH297" s="122">
        <v>2.6666666666666665E-2</v>
      </c>
      <c r="BI297" s="122">
        <v>7.619047619047619E-3</v>
      </c>
      <c r="BJ297" s="122">
        <v>4.4000000000000003E-3</v>
      </c>
      <c r="BK297" s="122">
        <v>7.4999956937941573E-3</v>
      </c>
      <c r="BL297" s="122">
        <v>3.5248037269803176E-2</v>
      </c>
      <c r="BM297" s="122">
        <v>0</v>
      </c>
      <c r="BN297" s="122">
        <v>2.9375323900042061E-3</v>
      </c>
      <c r="BO297" s="122">
        <v>9.0382328744389298E-2</v>
      </c>
      <c r="BP297" s="122">
        <f>BD297+BF297+BH297+BI297+BJ297+BK297+BL297+BM297+BN297</f>
        <v>9.2373593129878764E-2</v>
      </c>
      <c r="BS297" s="147"/>
      <c r="BT297" s="122" t="s">
        <v>362</v>
      </c>
      <c r="BU297" s="122">
        <v>2.3691681943378187E-2</v>
      </c>
      <c r="BV297" s="122">
        <v>-3.6019223357858176E-3</v>
      </c>
      <c r="BW297" s="122">
        <v>1.552776665375814E-3</v>
      </c>
      <c r="BX297" s="122">
        <v>-3.8819416634395349E-4</v>
      </c>
      <c r="BY297" s="122">
        <v>2.6666666666666665E-2</v>
      </c>
      <c r="BZ297" s="122">
        <v>5.7142857142857143E-3</v>
      </c>
      <c r="CA297" s="122">
        <v>4.4000000000000003E-3</v>
      </c>
      <c r="CB297" s="122">
        <v>4.8598821824262202E-3</v>
      </c>
      <c r="CC297" s="122">
        <v>4.0224158087848919E-2</v>
      </c>
      <c r="CD297" s="122">
        <v>7.0373565939039762E-3</v>
      </c>
      <c r="CE297" s="122">
        <v>1.3227196424206973E-4</v>
      </c>
      <c r="CF297" s="122">
        <f t="shared" si="4"/>
        <v>6.0227848357766178E-4</v>
      </c>
      <c r="CG297" s="122">
        <f>BP331-BP298</f>
        <v>1.3751445145271379E-3</v>
      </c>
    </row>
    <row r="298" spans="2:85" x14ac:dyDescent="0.35">
      <c r="B298" s="122" t="s">
        <v>332</v>
      </c>
      <c r="C298" s="122">
        <v>1.9922371300663917E-3</v>
      </c>
      <c r="D298" s="122">
        <v>-1.067853279781753E-4</v>
      </c>
      <c r="E298" s="122">
        <v>6.8982996659853576E-5</v>
      </c>
      <c r="F298" s="122">
        <v>-6.8982996659853564E-6</v>
      </c>
      <c r="G298" s="122">
        <v>1.0654632223259673E-3</v>
      </c>
      <c r="H298" s="122">
        <v>2.9878618113912231E-4</v>
      </c>
      <c r="I298" s="122">
        <v>8.6011184229469056E-5</v>
      </c>
      <c r="J298" s="122">
        <v>1.0358284649412651E-2</v>
      </c>
      <c r="K298" s="122">
        <v>6.6320725382555557E-3</v>
      </c>
      <c r="L298" s="122">
        <v>1.5288799329563722E-3</v>
      </c>
      <c r="M298" s="122">
        <v>3.2327580827179973E-4</v>
      </c>
      <c r="N298" s="122">
        <v>2.2240310015673018E-2</v>
      </c>
      <c r="BC298" s="122" t="s">
        <v>362</v>
      </c>
      <c r="BD298" s="122">
        <v>2.3691681943378187E-2</v>
      </c>
      <c r="BE298" s="122">
        <v>-3.6019223357858176E-3</v>
      </c>
      <c r="BF298" s="122">
        <v>1.552776665375814E-3</v>
      </c>
      <c r="BG298" s="122">
        <v>-3.8819416634395349E-4</v>
      </c>
      <c r="BH298" s="122">
        <v>2.6666666666666665E-2</v>
      </c>
      <c r="BI298" s="122">
        <v>5.7142857142857143E-3</v>
      </c>
      <c r="BJ298" s="122">
        <v>4.4000000000000003E-3</v>
      </c>
      <c r="BK298" s="122">
        <v>4.8598821824262202E-3</v>
      </c>
      <c r="BL298" s="122">
        <v>4.0224158087848919E-2</v>
      </c>
      <c r="BM298" s="122">
        <v>7.0373565939039762E-3</v>
      </c>
      <c r="BN298" s="122">
        <v>1.3227196424206973E-4</v>
      </c>
      <c r="BO298" s="122">
        <v>0.11028896331599779</v>
      </c>
      <c r="BP298" s="122">
        <f t="shared" ref="BP298:BP305" si="5">BD298+BF298+BH298+BI298+BJ298+BK298+BL298+BM298+BN298</f>
        <v>0.11427907981812756</v>
      </c>
      <c r="BS298" s="147"/>
      <c r="BT298" s="122" t="s">
        <v>363</v>
      </c>
      <c r="BU298" s="122">
        <v>2.3374265103106976E-2</v>
      </c>
      <c r="BV298" s="122">
        <v>-3.5424872620014453E-3</v>
      </c>
      <c r="BW298" s="122">
        <v>1.552776665375814E-3</v>
      </c>
      <c r="BX298" s="122">
        <v>-3.8819416634395349E-4</v>
      </c>
      <c r="BY298" s="122">
        <v>2.6666666666666665E-2</v>
      </c>
      <c r="BZ298" s="122">
        <v>9.7882661839723516E-3</v>
      </c>
      <c r="CA298" s="122">
        <v>4.4000000000000003E-3</v>
      </c>
      <c r="CB298" s="122">
        <v>1.7662855635614476E-2</v>
      </c>
      <c r="CC298" s="122">
        <v>5.0834109002294334E-2</v>
      </c>
      <c r="CD298" s="122">
        <v>4.2084925011030561E-3</v>
      </c>
      <c r="CE298" s="122">
        <v>3.4287712042257822E-4</v>
      </c>
      <c r="CF298" s="122">
        <f t="shared" si="4"/>
        <v>1.5082095043521537E-3</v>
      </c>
      <c r="CG298" s="122">
        <f>BP332-BP299</f>
        <v>3.4435997353705061E-3</v>
      </c>
    </row>
    <row r="299" spans="2:85" x14ac:dyDescent="0.35">
      <c r="B299" s="122" t="s">
        <v>323</v>
      </c>
      <c r="C299" s="122">
        <v>1.9922371300663917E-3</v>
      </c>
      <c r="D299" s="122">
        <v>-1.067853279781753E-4</v>
      </c>
      <c r="E299" s="122">
        <v>6.8982996659853576E-5</v>
      </c>
      <c r="F299" s="122">
        <v>-6.8982996659853564E-6</v>
      </c>
      <c r="G299" s="122">
        <v>1.0654632223259673E-3</v>
      </c>
      <c r="H299" s="122">
        <v>2.9878618113912231E-4</v>
      </c>
      <c r="I299" s="122">
        <v>8.9502842587904882E-5</v>
      </c>
      <c r="J299" s="122">
        <v>1.0358284649412651E-2</v>
      </c>
      <c r="K299" s="122">
        <v>6.6337156716007022E-3</v>
      </c>
      <c r="L299" s="122">
        <v>1.5292587215754768E-3</v>
      </c>
      <c r="M299" s="122">
        <v>3.2327580827179973E-4</v>
      </c>
      <c r="N299" s="122">
        <v>2.2245823595995706E-2</v>
      </c>
      <c r="BC299" s="122" t="s">
        <v>363</v>
      </c>
      <c r="BD299" s="122">
        <v>2.3374265103106976E-2</v>
      </c>
      <c r="BE299" s="122">
        <v>-3.5424872620014453E-3</v>
      </c>
      <c r="BF299" s="122">
        <v>1.552776665375814E-3</v>
      </c>
      <c r="BG299" s="122">
        <v>-3.8819416634395349E-4</v>
      </c>
      <c r="BH299" s="122">
        <v>2.6666666666666665E-2</v>
      </c>
      <c r="BI299" s="122">
        <v>9.7882661839723516E-3</v>
      </c>
      <c r="BJ299" s="122">
        <v>4.4000000000000003E-3</v>
      </c>
      <c r="BK299" s="122">
        <v>1.7662855635614476E-2</v>
      </c>
      <c r="BL299" s="122">
        <v>5.0834109002294334E-2</v>
      </c>
      <c r="BM299" s="122">
        <v>4.2084925011030561E-3</v>
      </c>
      <c r="BN299" s="122">
        <v>3.4287712042257822E-4</v>
      </c>
      <c r="BO299" s="122">
        <v>0.13489962745021084</v>
      </c>
      <c r="BP299" s="122">
        <f t="shared" si="5"/>
        <v>0.13883030887855624</v>
      </c>
      <c r="BS299" s="147">
        <v>2034</v>
      </c>
      <c r="BT299" s="122" t="s">
        <v>361</v>
      </c>
      <c r="BU299" s="122">
        <v>6.7111667881585542E-3</v>
      </c>
      <c r="BV299" s="122">
        <v>-1.3676032524712327E-3</v>
      </c>
      <c r="BW299" s="122">
        <v>1.552776665375814E-3</v>
      </c>
      <c r="BX299" s="122">
        <v>-3.8819416634395349E-4</v>
      </c>
      <c r="BY299" s="122">
        <v>2.6666666666666665E-2</v>
      </c>
      <c r="BZ299" s="122">
        <v>7.619047619047619E-3</v>
      </c>
      <c r="CA299" s="122">
        <v>4.4000000000000003E-3</v>
      </c>
      <c r="CB299" s="122">
        <v>5.4476320290995812E-3</v>
      </c>
      <c r="CC299" s="122">
        <v>3.6433929617258602E-2</v>
      </c>
      <c r="CD299" s="122">
        <v>0</v>
      </c>
      <c r="CE299" s="122">
        <v>6.3738697451547754E-3</v>
      </c>
      <c r="CF299" s="122">
        <f>BP301-BP268</f>
        <v>4.0667624301259364E-3</v>
      </c>
      <c r="CG299" s="122">
        <f>BP334-BP301</f>
        <v>1.6716140050210826E-3</v>
      </c>
    </row>
    <row r="300" spans="2:85" x14ac:dyDescent="0.35">
      <c r="B300" s="122" t="s">
        <v>350</v>
      </c>
      <c r="C300" s="122">
        <v>1.6052596798267933E-3</v>
      </c>
      <c r="D300" s="122">
        <v>-1.1861141326080898E-4</v>
      </c>
      <c r="E300" s="122">
        <v>7.6311881817276459E-4</v>
      </c>
      <c r="F300" s="122">
        <v>-3.8155940908638231E-5</v>
      </c>
      <c r="G300" s="122">
        <v>3.6264505802320927E-3</v>
      </c>
      <c r="H300" s="122">
        <v>2.5777082888133671E-3</v>
      </c>
      <c r="I300" s="122">
        <v>4.0016006402561026E-3</v>
      </c>
      <c r="J300" s="122">
        <v>3.4230929504727972E-3</v>
      </c>
      <c r="K300" s="122">
        <v>6.2280826317666592E-3</v>
      </c>
      <c r="L300" s="122">
        <v>2.9118308408259547E-4</v>
      </c>
      <c r="M300" s="122">
        <v>9.8294139121103233E-5</v>
      </c>
      <c r="N300" s="122">
        <v>2.2458023458574828E-2</v>
      </c>
      <c r="BB300" s="122">
        <v>2034</v>
      </c>
      <c r="BC300" s="122" t="s">
        <v>362</v>
      </c>
      <c r="BD300" s="122">
        <v>1.2195666695447615E-2</v>
      </c>
      <c r="BE300" s="122">
        <v>-2.5312150332824808E-3</v>
      </c>
      <c r="BF300" s="122">
        <v>1.552776665375814E-3</v>
      </c>
      <c r="BG300" s="122">
        <v>-3.8819416634395349E-4</v>
      </c>
      <c r="BH300" s="122">
        <v>2.6666666666666665E-2</v>
      </c>
      <c r="BI300" s="122">
        <v>5.7142857142857143E-3</v>
      </c>
      <c r="BJ300" s="122">
        <v>4.4000000000000003E-3</v>
      </c>
      <c r="BK300" s="122">
        <v>4.3849921608221393E-3</v>
      </c>
      <c r="BL300" s="122">
        <v>3.3379819142098317E-2</v>
      </c>
      <c r="BM300" s="122">
        <v>4.4802769050627939E-3</v>
      </c>
      <c r="BN300" s="122">
        <v>1.7593229318620677E-4</v>
      </c>
      <c r="BO300" s="122">
        <v>9.0031007043318817E-2</v>
      </c>
      <c r="BP300" s="122">
        <f t="shared" si="5"/>
        <v>9.2950416242945255E-2</v>
      </c>
      <c r="BS300" s="147"/>
      <c r="BT300" s="122" t="s">
        <v>362</v>
      </c>
      <c r="BU300" s="122">
        <v>1.2195666695447615E-2</v>
      </c>
      <c r="BV300" s="122">
        <v>-2.5312150332824808E-3</v>
      </c>
      <c r="BW300" s="122">
        <v>1.552776665375814E-3</v>
      </c>
      <c r="BX300" s="122">
        <v>-3.8819416634395349E-4</v>
      </c>
      <c r="BY300" s="122">
        <v>2.6666666666666665E-2</v>
      </c>
      <c r="BZ300" s="122">
        <v>5.7142857142857143E-3</v>
      </c>
      <c r="CA300" s="122">
        <v>4.4000000000000003E-3</v>
      </c>
      <c r="CB300" s="122">
        <v>4.3849921608221393E-3</v>
      </c>
      <c r="CC300" s="122">
        <v>3.3379819142098317E-2</v>
      </c>
      <c r="CD300" s="122">
        <v>4.4802769050627939E-3</v>
      </c>
      <c r="CE300" s="122">
        <v>1.7593229318620677E-4</v>
      </c>
      <c r="CF300" s="122">
        <f>BP300-BP267</f>
        <v>7.2172002992701434E-4</v>
      </c>
      <c r="CG300" s="122">
        <f>BP333-BP300</f>
        <v>1.0306274357323592E-3</v>
      </c>
    </row>
    <row r="301" spans="2:85" x14ac:dyDescent="0.35">
      <c r="B301" s="122" t="s">
        <v>345</v>
      </c>
      <c r="C301" s="122">
        <v>1.8209695944675583E-3</v>
      </c>
      <c r="D301" s="122">
        <v>-1.5096790045692366E-4</v>
      </c>
      <c r="E301" s="122">
        <v>5.087458787818432E-4</v>
      </c>
      <c r="F301" s="122">
        <v>-2.5437293939092156E-5</v>
      </c>
      <c r="G301" s="122">
        <v>1.525610244097639E-3</v>
      </c>
      <c r="H301" s="122">
        <v>2.7152291126929309E-3</v>
      </c>
      <c r="I301" s="122">
        <v>1.6256502601040416E-3</v>
      </c>
      <c r="J301" s="122">
        <v>1.522055845276906E-3</v>
      </c>
      <c r="K301" s="122">
        <v>1.2948538961619386E-2</v>
      </c>
      <c r="L301" s="122">
        <v>2.7618565130726677E-4</v>
      </c>
      <c r="M301" s="122">
        <v>4.3391689046223865E-5</v>
      </c>
      <c r="N301" s="122">
        <v>2.2809972042997777E-2</v>
      </c>
      <c r="R301" s="122" t="s">
        <v>18</v>
      </c>
      <c r="S301" s="122" t="s">
        <v>28</v>
      </c>
      <c r="T301" s="122" t="s">
        <v>14</v>
      </c>
      <c r="U301" s="122" t="s">
        <v>25</v>
      </c>
      <c r="V301" s="122" t="s">
        <v>37</v>
      </c>
      <c r="W301" s="122" t="s">
        <v>52</v>
      </c>
      <c r="X301" s="122" t="s">
        <v>260</v>
      </c>
      <c r="Y301" s="122" t="s">
        <v>67</v>
      </c>
      <c r="Z301" s="122" t="s">
        <v>56</v>
      </c>
      <c r="AA301" s="122" t="s">
        <v>73</v>
      </c>
      <c r="AB301" s="122" t="s">
        <v>204</v>
      </c>
      <c r="AC301" s="122" t="s">
        <v>504</v>
      </c>
      <c r="AD301" s="122" t="s">
        <v>505</v>
      </c>
      <c r="BC301" s="122" t="s">
        <v>361</v>
      </c>
      <c r="BD301" s="122">
        <v>6.7111667881585542E-3</v>
      </c>
      <c r="BE301" s="122">
        <v>-1.3676032524712327E-3</v>
      </c>
      <c r="BF301" s="122">
        <v>1.552776665375814E-3</v>
      </c>
      <c r="BG301" s="122">
        <v>-3.8819416634395349E-4</v>
      </c>
      <c r="BH301" s="122">
        <v>2.6666666666666665E-2</v>
      </c>
      <c r="BI301" s="122">
        <v>7.619047619047619E-3</v>
      </c>
      <c r="BJ301" s="122">
        <v>4.4000000000000003E-3</v>
      </c>
      <c r="BK301" s="122">
        <v>5.4476320290995812E-3</v>
      </c>
      <c r="BL301" s="122">
        <v>3.6433929617258602E-2</v>
      </c>
      <c r="BM301" s="122">
        <v>0</v>
      </c>
      <c r="BN301" s="122">
        <v>6.3738697451547754E-3</v>
      </c>
      <c r="BO301" s="122">
        <v>9.3449291711946436E-2</v>
      </c>
      <c r="BP301" s="122">
        <f t="shared" si="5"/>
        <v>9.5205089130761617E-2</v>
      </c>
      <c r="BS301" s="147"/>
      <c r="BT301" s="122" t="s">
        <v>363</v>
      </c>
      <c r="BU301" s="122">
        <v>1.3602217096595365E-2</v>
      </c>
      <c r="BV301" s="122">
        <v>-2.721219397624406E-3</v>
      </c>
      <c r="BW301" s="122">
        <v>1.552776665375814E-3</v>
      </c>
      <c r="BX301" s="122">
        <v>-3.8819416634395349E-4</v>
      </c>
      <c r="BY301" s="122">
        <v>2.6666666666666665E-2</v>
      </c>
      <c r="BZ301" s="122">
        <v>7.7224822441822839E-3</v>
      </c>
      <c r="CA301" s="122">
        <v>4.4000000000000003E-3</v>
      </c>
      <c r="CB301" s="122">
        <v>1.1998664665103829E-2</v>
      </c>
      <c r="CC301" s="122">
        <v>4.0389331457089936E-2</v>
      </c>
      <c r="CD301" s="122">
        <v>2.4483661246475913E-3</v>
      </c>
      <c r="CE301" s="122">
        <v>4.5605399770604809E-4</v>
      </c>
      <c r="CF301" s="122">
        <f t="shared" si="4"/>
        <v>1.7122001111077173E-3</v>
      </c>
      <c r="CG301" s="122">
        <f t="shared" ref="CG301" si="6">BP335-BP302</f>
        <v>2.4495492013235087E-3</v>
      </c>
    </row>
    <row r="302" spans="2:85" x14ac:dyDescent="0.35">
      <c r="B302" s="122" t="s">
        <v>353</v>
      </c>
      <c r="C302" s="122">
        <v>1.4567756755740466E-3</v>
      </c>
      <c r="D302" s="122">
        <v>-1.2077432036553891E-4</v>
      </c>
      <c r="E302" s="122">
        <v>5.0874587878184309E-4</v>
      </c>
      <c r="F302" s="122">
        <v>-2.5437293939092159E-5</v>
      </c>
      <c r="G302" s="122">
        <v>1.3005202080832333E-3</v>
      </c>
      <c r="H302" s="122">
        <v>2.1721832901543448E-3</v>
      </c>
      <c r="I302" s="122">
        <v>1.4005602240896359E-3</v>
      </c>
      <c r="J302" s="122">
        <v>1.2176446762215247E-3</v>
      </c>
      <c r="K302" s="122">
        <v>1.5429407426528471E-2</v>
      </c>
      <c r="L302" s="122">
        <v>1.822924467675055E-4</v>
      </c>
      <c r="M302" s="122">
        <v>3.4713351236979088E-5</v>
      </c>
      <c r="N302" s="122">
        <v>2.3556631563132955E-2</v>
      </c>
      <c r="P302" s="147">
        <v>2023</v>
      </c>
      <c r="Q302" s="146" t="s">
        <v>375</v>
      </c>
      <c r="R302" s="146">
        <v>1.0347449498978036E-3</v>
      </c>
      <c r="S302" s="146">
        <v>-1.0336086682377807E-4</v>
      </c>
      <c r="T302" s="146">
        <v>3.4491498329926784E-4</v>
      </c>
      <c r="U302" s="146">
        <v>-3.4491498329926788E-5</v>
      </c>
      <c r="V302" s="146">
        <v>1.0654632223259673E-3</v>
      </c>
      <c r="W302" s="146">
        <v>4.305425874053325E-4</v>
      </c>
      <c r="X302" s="146">
        <v>1.7869725535414797E-4</v>
      </c>
      <c r="Y302" s="146">
        <v>2.0608228308229173E-3</v>
      </c>
      <c r="Z302" s="146">
        <v>5.1168445173227313E-3</v>
      </c>
      <c r="AA302" s="146">
        <v>0</v>
      </c>
      <c r="AB302" s="146">
        <v>1.829443359540834E-3</v>
      </c>
      <c r="AC302" s="146">
        <v>1.1923621340815298E-2</v>
      </c>
      <c r="BC302" s="122" t="s">
        <v>363</v>
      </c>
      <c r="BD302" s="122">
        <v>1.3602217096595365E-2</v>
      </c>
      <c r="BE302" s="122">
        <v>-2.721219397624406E-3</v>
      </c>
      <c r="BF302" s="122">
        <v>1.552776665375814E-3</v>
      </c>
      <c r="BG302" s="122">
        <v>-3.8819416634395349E-4</v>
      </c>
      <c r="BH302" s="122">
        <v>2.6666666666666665E-2</v>
      </c>
      <c r="BI302" s="122">
        <v>7.7224822441822839E-3</v>
      </c>
      <c r="BJ302" s="122">
        <v>4.4000000000000003E-3</v>
      </c>
      <c r="BK302" s="122">
        <v>1.1998664665103829E-2</v>
      </c>
      <c r="BL302" s="122">
        <v>4.0389331457089936E-2</v>
      </c>
      <c r="BM302" s="122">
        <v>2.4483661246475913E-3</v>
      </c>
      <c r="BN302" s="122">
        <v>4.5605399770604809E-4</v>
      </c>
      <c r="BO302" s="122">
        <v>0.10612714535339918</v>
      </c>
      <c r="BP302" s="122">
        <f t="shared" si="5"/>
        <v>0.10923655891736754</v>
      </c>
      <c r="BS302" s="147">
        <v>2050</v>
      </c>
      <c r="BT302" s="122" t="s">
        <v>361</v>
      </c>
      <c r="BU302" s="122">
        <v>7.0535426020101408E-3</v>
      </c>
      <c r="BV302" s="122">
        <v>-1.0594650200048046E-3</v>
      </c>
      <c r="BW302" s="122">
        <v>1.552776665375814E-3</v>
      </c>
      <c r="BX302" s="122">
        <v>-3.8819416634395349E-4</v>
      </c>
      <c r="BY302" s="122">
        <v>2.6666666666666665E-2</v>
      </c>
      <c r="BZ302" s="122">
        <v>7.619047619047619E-3</v>
      </c>
      <c r="CA302" s="122">
        <v>4.4000000000000003E-3</v>
      </c>
      <c r="CB302" s="122">
        <v>4.1127344164172217E-3</v>
      </c>
      <c r="CC302" s="122">
        <v>3.5584099003046925E-2</v>
      </c>
      <c r="CD302" s="122">
        <v>0</v>
      </c>
      <c r="CE302" s="122">
        <v>5.7102461303557804E-3</v>
      </c>
      <c r="CF302" s="122">
        <f>BP305-BP271</f>
        <v>3.9115680590924573E-3</v>
      </c>
      <c r="CG302" s="122">
        <f>BP338-BP305</f>
        <v>2.5704590102607616E-3</v>
      </c>
    </row>
    <row r="303" spans="2:85" x14ac:dyDescent="0.35">
      <c r="B303" s="122" t="s">
        <v>341</v>
      </c>
      <c r="C303" s="122">
        <v>1.8209695944675583E-3</v>
      </c>
      <c r="D303" s="122">
        <v>-1.5096790045692366E-4</v>
      </c>
      <c r="E303" s="122">
        <v>1.0174917575636864E-3</v>
      </c>
      <c r="F303" s="122">
        <v>-5.0874587878184312E-5</v>
      </c>
      <c r="G303" s="122">
        <v>1.5506202480992397E-3</v>
      </c>
      <c r="H303" s="122">
        <v>2.7152291126929309E-3</v>
      </c>
      <c r="I303" s="122">
        <v>1.6256502601040416E-3</v>
      </c>
      <c r="J303" s="122">
        <v>1.522055845276906E-3</v>
      </c>
      <c r="K303" s="122">
        <v>1.3699954792840295E-2</v>
      </c>
      <c r="L303" s="122">
        <v>2.9221296306525431E-4</v>
      </c>
      <c r="M303" s="122">
        <v>4.3391689046223865E-5</v>
      </c>
      <c r="N303" s="122">
        <v>2.4085733774821028E-2</v>
      </c>
      <c r="P303" s="147"/>
      <c r="Q303" s="146" t="s">
        <v>371</v>
      </c>
      <c r="R303" s="146">
        <v>1.0347449498978036E-3</v>
      </c>
      <c r="S303" s="146">
        <v>-1.0336086682377807E-4</v>
      </c>
      <c r="T303" s="146">
        <v>3.4491498329926784E-4</v>
      </c>
      <c r="U303" s="146">
        <v>-3.4491498329926788E-5</v>
      </c>
      <c r="V303" s="146">
        <v>1.0654632223259673E-3</v>
      </c>
      <c r="W303" s="146">
        <v>4.305425874053325E-4</v>
      </c>
      <c r="X303" s="146">
        <v>1.7869725535414797E-4</v>
      </c>
      <c r="Y303" s="146">
        <v>4.5972662777521807E-3</v>
      </c>
      <c r="Z303" s="146">
        <v>6.934951781538197E-3</v>
      </c>
      <c r="AA303" s="146">
        <v>0</v>
      </c>
      <c r="AB303" s="146">
        <v>1.7360815489011045E-3</v>
      </c>
      <c r="AC303" s="146">
        <v>1.6184810241320298E-2</v>
      </c>
      <c r="BB303" s="122">
        <v>2050</v>
      </c>
      <c r="BC303" s="122" t="s">
        <v>362</v>
      </c>
      <c r="BD303" s="122">
        <v>8.9023613155393838E-3</v>
      </c>
      <c r="BE303" s="122">
        <v>-2.2244856106439686E-3</v>
      </c>
      <c r="BF303" s="122">
        <v>1.552776665375814E-3</v>
      </c>
      <c r="BG303" s="122">
        <v>-3.8819416634395349E-4</v>
      </c>
      <c r="BH303" s="122">
        <v>2.6666666666666665E-2</v>
      </c>
      <c r="BI303" s="122">
        <v>5.7142857142857143E-3</v>
      </c>
      <c r="BJ303" s="122">
        <v>4.4000000000000003E-3</v>
      </c>
      <c r="BK303" s="122">
        <v>3.6038550798649727E-3</v>
      </c>
      <c r="BL303" s="122">
        <v>3.0894048511656932E-2</v>
      </c>
      <c r="BM303" s="122">
        <v>2.5852196016976914E-3</v>
      </c>
      <c r="BN303" s="122">
        <v>6.9881416122631238E-7</v>
      </c>
      <c r="BO303" s="122">
        <v>8.1707232592260481E-2</v>
      </c>
      <c r="BP303" s="122">
        <f t="shared" si="5"/>
        <v>8.4319912369248406E-2</v>
      </c>
      <c r="BS303" s="147"/>
      <c r="BT303" s="122" t="s">
        <v>362</v>
      </c>
      <c r="BU303" s="122">
        <v>8.9023613155393838E-3</v>
      </c>
      <c r="BV303" s="122">
        <v>-2.2244856106439686E-3</v>
      </c>
      <c r="BW303" s="122">
        <v>1.552776665375814E-3</v>
      </c>
      <c r="BX303" s="122">
        <v>-3.8819416634395349E-4</v>
      </c>
      <c r="BY303" s="122">
        <v>2.6666666666666665E-2</v>
      </c>
      <c r="BZ303" s="122">
        <v>5.7142857142857143E-3</v>
      </c>
      <c r="CA303" s="122">
        <v>4.4000000000000003E-3</v>
      </c>
      <c r="CB303" s="122">
        <v>3.6038550798649727E-3</v>
      </c>
      <c r="CC303" s="122">
        <v>3.0894048511656932E-2</v>
      </c>
      <c r="CD303" s="122">
        <v>2.5852196016976914E-3</v>
      </c>
      <c r="CE303" s="122">
        <v>6.9881416122631238E-7</v>
      </c>
      <c r="CF303" s="122">
        <f>BP303-BP270</f>
        <v>8.260046119082376E-4</v>
      </c>
      <c r="CG303" s="122">
        <f>BP336-BP303</f>
        <v>7.7437932366394846E-4</v>
      </c>
    </row>
    <row r="304" spans="2:85" x14ac:dyDescent="0.35">
      <c r="B304" s="122" t="s">
        <v>343</v>
      </c>
      <c r="C304" s="122">
        <v>7.6317014160409149E-4</v>
      </c>
      <c r="D304" s="122">
        <v>-8.0920645629828101E-5</v>
      </c>
      <c r="E304" s="122">
        <v>5.087458787818432E-4</v>
      </c>
      <c r="F304" s="122">
        <v>-2.5437293939092156E-5</v>
      </c>
      <c r="G304" s="122">
        <v>1.525610244097639E-3</v>
      </c>
      <c r="H304" s="122">
        <v>2.6260504201680674E-3</v>
      </c>
      <c r="I304" s="122">
        <v>1.6256502601040416E-3</v>
      </c>
      <c r="J304" s="122">
        <v>2.0694919175098612E-3</v>
      </c>
      <c r="K304" s="122">
        <v>1.4917062033424348E-2</v>
      </c>
      <c r="L304" s="122">
        <v>0</v>
      </c>
      <c r="M304" s="122">
        <v>2.0378339096479639E-3</v>
      </c>
      <c r="N304" s="122">
        <v>2.5967256865768937E-2</v>
      </c>
      <c r="P304" s="147"/>
      <c r="Q304" s="146" t="s">
        <v>343</v>
      </c>
      <c r="R304" s="146">
        <v>7.6317014160409149E-4</v>
      </c>
      <c r="S304" s="146">
        <v>-1.1346797345547289E-4</v>
      </c>
      <c r="T304" s="146">
        <v>5.087458787818432E-4</v>
      </c>
      <c r="U304" s="146">
        <v>-2.5437293939092156E-5</v>
      </c>
      <c r="V304" s="146">
        <v>1.525610244097639E-3</v>
      </c>
      <c r="W304" s="146">
        <v>2.6260504201680674E-3</v>
      </c>
      <c r="X304" s="146">
        <v>1.6256502601040416E-3</v>
      </c>
      <c r="Y304" s="146">
        <v>2.3018816718401642E-3</v>
      </c>
      <c r="Z304" s="146">
        <v>1.361627399540217E-2</v>
      </c>
      <c r="AA304" s="146">
        <v>0</v>
      </c>
      <c r="AB304" s="146">
        <v>8.6996317577796474E-4</v>
      </c>
      <c r="AC304" s="146">
        <v>2.3698440520381413E-2</v>
      </c>
      <c r="BC304" s="122" t="s">
        <v>363</v>
      </c>
      <c r="BD304" s="122">
        <v>9.5184690021196325E-3</v>
      </c>
      <c r="BE304" s="122">
        <v>-2.3780107811737857E-3</v>
      </c>
      <c r="BF304" s="122">
        <v>1.552776665375814E-3</v>
      </c>
      <c r="BG304" s="122">
        <v>-3.8819416634395349E-4</v>
      </c>
      <c r="BH304" s="122">
        <v>2.6666666666666665E-2</v>
      </c>
      <c r="BI304" s="122">
        <v>6.8591891840075045E-3</v>
      </c>
      <c r="BJ304" s="122">
        <v>4.4000000000000003E-3</v>
      </c>
      <c r="BK304" s="122">
        <v>7.486376912485577E-3</v>
      </c>
      <c r="BL304" s="122">
        <v>3.4355841857406665E-2</v>
      </c>
      <c r="BM304" s="122">
        <v>1.1159414175274593E-3</v>
      </c>
      <c r="BN304" s="122">
        <v>1.8114752335067749E-6</v>
      </c>
      <c r="BO304" s="122">
        <v>8.9190868233305104E-2</v>
      </c>
      <c r="BP304" s="122">
        <f t="shared" si="5"/>
        <v>9.1957073180822829E-2</v>
      </c>
      <c r="BS304" s="147"/>
      <c r="BT304" s="122" t="s">
        <v>363</v>
      </c>
      <c r="BU304" s="122">
        <v>9.5184690021196325E-3</v>
      </c>
      <c r="BV304" s="122">
        <v>-2.3780107811737857E-3</v>
      </c>
      <c r="BW304" s="122">
        <v>1.552776665375814E-3</v>
      </c>
      <c r="BX304" s="122">
        <v>-3.8819416634395349E-4</v>
      </c>
      <c r="BY304" s="122">
        <v>2.6666666666666665E-2</v>
      </c>
      <c r="BZ304" s="122">
        <v>6.8591891840075045E-3</v>
      </c>
      <c r="CA304" s="122">
        <v>4.4000000000000003E-3</v>
      </c>
      <c r="CB304" s="122">
        <v>7.486376912485577E-3</v>
      </c>
      <c r="CC304" s="122">
        <v>3.4355841857406665E-2</v>
      </c>
      <c r="CD304" s="122">
        <v>1.1159414175274593E-3</v>
      </c>
      <c r="CE304" s="122">
        <v>1.8114752335067749E-6</v>
      </c>
      <c r="CF304" s="122">
        <f>BP304-BP272</f>
        <v>1.7468237566640177E-3</v>
      </c>
      <c r="CG304" s="122">
        <f>BP337-BP304</f>
        <v>1.6376472718725166E-3</v>
      </c>
    </row>
    <row r="305" spans="2:68" x14ac:dyDescent="0.35">
      <c r="B305" s="122" t="s">
        <v>327</v>
      </c>
      <c r="C305" s="122">
        <v>1.9812010201050753E-3</v>
      </c>
      <c r="D305" s="122">
        <v>-1.0568171698204363E-4</v>
      </c>
      <c r="E305" s="122">
        <v>3.4491498329926784E-4</v>
      </c>
      <c r="F305" s="122">
        <v>-3.4491498329926788E-5</v>
      </c>
      <c r="G305" s="122">
        <v>1.0654632223259673E-3</v>
      </c>
      <c r="H305" s="122">
        <v>2.9878618113912231E-4</v>
      </c>
      <c r="I305" s="122">
        <v>1.7869725535414797E-4</v>
      </c>
      <c r="J305" s="122">
        <v>1.0257993776547255E-2</v>
      </c>
      <c r="K305" s="122">
        <v>1.0705383345754259E-2</v>
      </c>
      <c r="L305" s="122">
        <v>1.2327946859695196E-3</v>
      </c>
      <c r="M305" s="122">
        <v>3.29492650738565E-4</v>
      </c>
      <c r="N305" s="122">
        <v>2.6254553905921209E-2</v>
      </c>
      <c r="P305" s="147"/>
      <c r="Q305" s="146" t="s">
        <v>361</v>
      </c>
      <c r="R305" s="146">
        <v>6.4495368251871292E-3</v>
      </c>
      <c r="S305" s="146">
        <v>-1.6030702191455165E-3</v>
      </c>
      <c r="T305" s="146">
        <v>1.552776665375814E-3</v>
      </c>
      <c r="U305" s="146">
        <v>-3.8819416634395349E-4</v>
      </c>
      <c r="V305" s="146">
        <v>2.6666666666666665E-2</v>
      </c>
      <c r="W305" s="146">
        <v>7.619047619047619E-3</v>
      </c>
      <c r="X305" s="146">
        <v>4.4000000000000003E-3</v>
      </c>
      <c r="Y305" s="146">
        <v>7.7725726298020935E-3</v>
      </c>
      <c r="Z305" s="146">
        <v>3.5419879251199486E-2</v>
      </c>
      <c r="AA305" s="146">
        <v>0</v>
      </c>
      <c r="AB305" s="146">
        <v>2.9375323900042061E-3</v>
      </c>
      <c r="AC305" s="146">
        <v>9.0826747661793536E-2</v>
      </c>
      <c r="BC305" s="122" t="s">
        <v>361</v>
      </c>
      <c r="BD305" s="122">
        <v>7.0535426020101408E-3</v>
      </c>
      <c r="BE305" s="122">
        <v>-1.0594650200048046E-3</v>
      </c>
      <c r="BF305" s="122">
        <v>1.552776665375814E-3</v>
      </c>
      <c r="BG305" s="122">
        <v>-3.8819416634395349E-4</v>
      </c>
      <c r="BH305" s="122">
        <v>2.6666666666666665E-2</v>
      </c>
      <c r="BI305" s="122">
        <v>7.619047619047619E-3</v>
      </c>
      <c r="BJ305" s="122">
        <v>4.4000000000000003E-3</v>
      </c>
      <c r="BK305" s="122">
        <v>4.1127344164172217E-3</v>
      </c>
      <c r="BL305" s="122">
        <v>3.5584099003046925E-2</v>
      </c>
      <c r="BM305" s="122">
        <v>0</v>
      </c>
      <c r="BN305" s="122">
        <v>5.7102461303557804E-3</v>
      </c>
      <c r="BO305" s="122">
        <v>9.1251453916571412E-2</v>
      </c>
      <c r="BP305" s="122">
        <f t="shared" si="5"/>
        <v>9.2699113102920172E-2</v>
      </c>
    </row>
    <row r="306" spans="2:68" x14ac:dyDescent="0.35">
      <c r="B306" s="122" t="s">
        <v>346</v>
      </c>
      <c r="C306" s="122">
        <v>1.6052596798267933E-3</v>
      </c>
      <c r="D306" s="122">
        <v>-1.1861141326080898E-4</v>
      </c>
      <c r="E306" s="122">
        <v>5.087458787818432E-4</v>
      </c>
      <c r="F306" s="122">
        <v>-2.5437293939092156E-5</v>
      </c>
      <c r="G306" s="122">
        <v>1.525610244097639E-3</v>
      </c>
      <c r="H306" s="122">
        <v>2.5777082888133671E-3</v>
      </c>
      <c r="I306" s="122">
        <v>1.6256502601040416E-3</v>
      </c>
      <c r="J306" s="122">
        <v>3.4230929504727972E-3</v>
      </c>
      <c r="K306" s="122">
        <v>1.5145657963797575E-2</v>
      </c>
      <c r="L306" s="122">
        <v>2.0493067857992563E-4</v>
      </c>
      <c r="M306" s="122">
        <v>9.8294139121103233E-5</v>
      </c>
      <c r="N306" s="122">
        <v>2.6570901376395187E-2</v>
      </c>
      <c r="P306" s="147"/>
    </row>
    <row r="307" spans="2:68" x14ac:dyDescent="0.35">
      <c r="B307" s="122" t="s">
        <v>326</v>
      </c>
      <c r="C307" s="122">
        <v>1.9922371300663917E-3</v>
      </c>
      <c r="D307" s="122">
        <v>-1.067853279781753E-4</v>
      </c>
      <c r="E307" s="122">
        <v>3.4491498329926784E-4</v>
      </c>
      <c r="F307" s="122">
        <v>-3.4491498329926788E-5</v>
      </c>
      <c r="G307" s="122">
        <v>1.0654632223259673E-3</v>
      </c>
      <c r="H307" s="122">
        <v>2.9878618113912231E-4</v>
      </c>
      <c r="I307" s="122">
        <v>1.7869725535414797E-4</v>
      </c>
      <c r="J307" s="122">
        <v>1.0358284649412651E-2</v>
      </c>
      <c r="K307" s="122">
        <v>1.0782783553652911E-2</v>
      </c>
      <c r="L307" s="122">
        <v>1.5718624642608366E-3</v>
      </c>
      <c r="M307" s="122">
        <v>3.2327580827179973E-4</v>
      </c>
      <c r="N307" s="122">
        <v>2.677502842147499E-2</v>
      </c>
      <c r="P307" s="147"/>
    </row>
    <row r="308" spans="2:68" x14ac:dyDescent="0.35">
      <c r="B308" s="122" t="s">
        <v>351</v>
      </c>
      <c r="C308" s="122">
        <v>6.1053611328327313E-4</v>
      </c>
      <c r="D308" s="122">
        <v>-6.4736516503862478E-5</v>
      </c>
      <c r="E308" s="122">
        <v>5.0874587878184309E-4</v>
      </c>
      <c r="F308" s="122">
        <v>-2.5437293939092159E-5</v>
      </c>
      <c r="G308" s="122">
        <v>1.3005202080832333E-3</v>
      </c>
      <c r="H308" s="122">
        <v>2.1008403361344541E-3</v>
      </c>
      <c r="I308" s="122">
        <v>1.4005602240896359E-3</v>
      </c>
      <c r="J308" s="122">
        <v>1.655593534007889E-3</v>
      </c>
      <c r="K308" s="122">
        <v>1.7690919978788126E-2</v>
      </c>
      <c r="L308" s="122">
        <v>0</v>
      </c>
      <c r="M308" s="122">
        <v>1.6302671277183709E-3</v>
      </c>
      <c r="N308" s="122">
        <v>2.6807809590443873E-2</v>
      </c>
      <c r="P308" s="147"/>
    </row>
    <row r="309" spans="2:68" x14ac:dyDescent="0.35">
      <c r="B309" s="122" t="s">
        <v>339</v>
      </c>
      <c r="C309" s="122">
        <v>7.6317014160409149E-4</v>
      </c>
      <c r="D309" s="122">
        <v>-8.0920645629828101E-5</v>
      </c>
      <c r="E309" s="122">
        <v>1.0174917575636864E-3</v>
      </c>
      <c r="F309" s="122">
        <v>-5.0874587878184312E-5</v>
      </c>
      <c r="G309" s="122">
        <v>1.5506202480992397E-3</v>
      </c>
      <c r="H309" s="122">
        <v>2.6260504201680674E-3</v>
      </c>
      <c r="I309" s="122">
        <v>1.6256502601040416E-3</v>
      </c>
      <c r="J309" s="122">
        <v>2.0694919175098612E-3</v>
      </c>
      <c r="K309" s="122">
        <v>1.5668477864645258E-2</v>
      </c>
      <c r="L309" s="122">
        <v>0</v>
      </c>
      <c r="M309" s="122">
        <v>2.0378339096479639E-3</v>
      </c>
      <c r="N309" s="122">
        <v>2.7226991285834196E-2</v>
      </c>
      <c r="P309" s="147"/>
    </row>
    <row r="310" spans="2:68" x14ac:dyDescent="0.35">
      <c r="B310" s="122" t="s">
        <v>354</v>
      </c>
      <c r="C310" s="122">
        <v>1.2842077438614348E-3</v>
      </c>
      <c r="D310" s="122">
        <v>-9.4889130608647181E-5</v>
      </c>
      <c r="E310" s="122">
        <v>5.0874587878184309E-4</v>
      </c>
      <c r="F310" s="122">
        <v>-2.5437293939092159E-5</v>
      </c>
      <c r="G310" s="122">
        <v>1.3005202080832333E-3</v>
      </c>
      <c r="H310" s="122">
        <v>2.0621666310506933E-3</v>
      </c>
      <c r="I310" s="122">
        <v>1.4005602240896359E-3</v>
      </c>
      <c r="J310" s="122">
        <v>2.7384743603782375E-3</v>
      </c>
      <c r="K310" s="122">
        <v>1.7953539489495973E-2</v>
      </c>
      <c r="L310" s="122">
        <v>1.3483852928800576E-4</v>
      </c>
      <c r="M310" s="122">
        <v>7.8635311296882581E-5</v>
      </c>
      <c r="N310" s="122">
        <v>2.7341361951778196E-2</v>
      </c>
      <c r="P310" s="147"/>
    </row>
    <row r="311" spans="2:68" x14ac:dyDescent="0.35">
      <c r="B311" s="122" t="s">
        <v>342</v>
      </c>
      <c r="C311" s="122">
        <v>1.6052596798267933E-3</v>
      </c>
      <c r="D311" s="122">
        <v>-1.1861141326080898E-4</v>
      </c>
      <c r="E311" s="122">
        <v>1.0174917575636864E-3</v>
      </c>
      <c r="F311" s="122">
        <v>-5.0874587878184312E-5</v>
      </c>
      <c r="G311" s="122">
        <v>1.5506202480992397E-3</v>
      </c>
      <c r="H311" s="122">
        <v>2.5777082888133671E-3</v>
      </c>
      <c r="I311" s="122">
        <v>1.6256502601040416E-3</v>
      </c>
      <c r="J311" s="122">
        <v>3.4230929504727972E-3</v>
      </c>
      <c r="K311" s="122">
        <v>1.5897073795018479E-2</v>
      </c>
      <c r="L311" s="122">
        <v>2.1509782724760639E-4</v>
      </c>
      <c r="M311" s="122">
        <v>9.8294139121103233E-5</v>
      </c>
      <c r="N311" s="122">
        <v>2.7840802945128119E-2</v>
      </c>
      <c r="P311" s="147"/>
    </row>
    <row r="312" spans="2:68" x14ac:dyDescent="0.35">
      <c r="B312" s="122" t="s">
        <v>330</v>
      </c>
      <c r="C312" s="122">
        <v>1.9812010201050753E-3</v>
      </c>
      <c r="D312" s="122">
        <v>-1.0568171698204363E-4</v>
      </c>
      <c r="E312" s="122">
        <v>6.8982996659853576E-5</v>
      </c>
      <c r="F312" s="122">
        <v>-6.8982996659853564E-6</v>
      </c>
      <c r="G312" s="122">
        <v>1.0654632223259673E-3</v>
      </c>
      <c r="H312" s="122">
        <v>2.9878618113912231E-4</v>
      </c>
      <c r="I312" s="122">
        <v>8.6011184229469056E-5</v>
      </c>
      <c r="J312" s="122">
        <v>1.0257993776547255E-2</v>
      </c>
      <c r="K312" s="122">
        <v>1.291305933639623E-2</v>
      </c>
      <c r="L312" s="122">
        <v>1.198840223252895E-3</v>
      </c>
      <c r="M312" s="122">
        <v>3.29492650738565E-4</v>
      </c>
      <c r="N312" s="122">
        <v>2.8087250574746401E-2</v>
      </c>
      <c r="P312" s="147"/>
    </row>
    <row r="313" spans="2:68" x14ac:dyDescent="0.35">
      <c r="B313" s="122" t="s">
        <v>329</v>
      </c>
      <c r="C313" s="122">
        <v>1.9922371300663917E-3</v>
      </c>
      <c r="D313" s="122">
        <v>-1.067853279781753E-4</v>
      </c>
      <c r="E313" s="122">
        <v>6.8982996659853576E-5</v>
      </c>
      <c r="F313" s="122">
        <v>-6.8982996659853564E-6</v>
      </c>
      <c r="G313" s="122">
        <v>1.0654632223259673E-3</v>
      </c>
      <c r="H313" s="122">
        <v>2.9878618113912231E-4</v>
      </c>
      <c r="I313" s="122">
        <v>8.6011184229469056E-5</v>
      </c>
      <c r="J313" s="122">
        <v>1.0358284649412651E-2</v>
      </c>
      <c r="K313" s="122">
        <v>1.300906536350129E-2</v>
      </c>
      <c r="L313" s="122">
        <v>1.5288799329563722E-3</v>
      </c>
      <c r="M313" s="122">
        <v>3.2327580827179973E-4</v>
      </c>
      <c r="N313" s="122">
        <v>2.8617302840918755E-2</v>
      </c>
      <c r="P313" s="147"/>
    </row>
    <row r="314" spans="2:68" x14ac:dyDescent="0.35">
      <c r="B314" s="122" t="s">
        <v>334</v>
      </c>
      <c r="C314" s="122">
        <v>1.3120601049831952E-3</v>
      </c>
      <c r="D314" s="122">
        <v>-7.1121060229817985E-5</v>
      </c>
      <c r="E314" s="122">
        <v>6.8982996659853576E-5</v>
      </c>
      <c r="F314" s="122">
        <v>-6.8982996659853564E-6</v>
      </c>
      <c r="G314" s="122">
        <v>1.0654632223259673E-3</v>
      </c>
      <c r="H314" s="122">
        <v>4.305425874053325E-4</v>
      </c>
      <c r="I314" s="122">
        <v>8.6011184229469056E-5</v>
      </c>
      <c r="J314" s="122">
        <v>1.6567975451505536E-2</v>
      </c>
      <c r="K314" s="122">
        <v>9.3576718914093818E-3</v>
      </c>
      <c r="L314" s="122">
        <v>8.285438653852055E-4</v>
      </c>
      <c r="M314" s="122">
        <v>4.1823998269942579E-4</v>
      </c>
      <c r="N314" s="122">
        <v>3.0057471926707564E-2</v>
      </c>
    </row>
    <row r="315" spans="2:68" x14ac:dyDescent="0.35">
      <c r="B315" s="122" t="s">
        <v>325</v>
      </c>
      <c r="C315" s="122">
        <v>1.3120601049831952E-3</v>
      </c>
      <c r="D315" s="122">
        <v>-7.1121060229817985E-5</v>
      </c>
      <c r="E315" s="122">
        <v>6.8982996659853576E-5</v>
      </c>
      <c r="F315" s="122">
        <v>-6.8982996659853564E-6</v>
      </c>
      <c r="G315" s="122">
        <v>1.0654632223259673E-3</v>
      </c>
      <c r="H315" s="122">
        <v>4.305425874053325E-4</v>
      </c>
      <c r="I315" s="122">
        <v>8.9502842587904882E-5</v>
      </c>
      <c r="J315" s="122">
        <v>1.6567975451505536E-2</v>
      </c>
      <c r="K315" s="122">
        <v>9.3593150247545283E-3</v>
      </c>
      <c r="L315" s="122">
        <v>8.2868935115014072E-4</v>
      </c>
      <c r="M315" s="122">
        <v>4.1823998269942579E-4</v>
      </c>
      <c r="N315" s="122">
        <v>3.006275220417608E-2</v>
      </c>
    </row>
    <row r="316" spans="2:68" x14ac:dyDescent="0.35">
      <c r="B316" s="122" t="s">
        <v>328</v>
      </c>
      <c r="C316" s="122">
        <v>1.3120601049831952E-3</v>
      </c>
      <c r="D316" s="122">
        <v>-7.1121060229817985E-5</v>
      </c>
      <c r="E316" s="122">
        <v>3.4491498329926784E-4</v>
      </c>
      <c r="F316" s="122">
        <v>-3.4491498329926788E-5</v>
      </c>
      <c r="G316" s="122">
        <v>1.0654632223259673E-3</v>
      </c>
      <c r="H316" s="122">
        <v>4.305425874053325E-4</v>
      </c>
      <c r="I316" s="122">
        <v>1.7869725535414797E-4</v>
      </c>
      <c r="J316" s="122">
        <v>1.6567975451505536E-2</v>
      </c>
      <c r="K316" s="122">
        <v>1.5093033693524077E-2</v>
      </c>
      <c r="L316" s="122">
        <v>8.4505266773637205E-4</v>
      </c>
      <c r="M316" s="122">
        <v>4.1823998269942579E-4</v>
      </c>
      <c r="N316" s="122">
        <v>3.6150367390273573E-2</v>
      </c>
    </row>
    <row r="317" spans="2:68" x14ac:dyDescent="0.35">
      <c r="B317" s="122" t="s">
        <v>331</v>
      </c>
      <c r="C317" s="122">
        <v>1.3120601049831952E-3</v>
      </c>
      <c r="D317" s="122">
        <v>-7.1121060229817985E-5</v>
      </c>
      <c r="E317" s="122">
        <v>6.8982996659853576E-5</v>
      </c>
      <c r="F317" s="122">
        <v>-6.8982996659853564E-6</v>
      </c>
      <c r="G317" s="122">
        <v>1.0654632223259673E-3</v>
      </c>
      <c r="H317" s="122">
        <v>4.305425874053325E-4</v>
      </c>
      <c r="I317" s="122">
        <v>8.6011184229469056E-5</v>
      </c>
      <c r="J317" s="122">
        <v>1.6567975451505536E-2</v>
      </c>
      <c r="K317" s="122">
        <v>1.8355433325456878E-2</v>
      </c>
      <c r="L317" s="122">
        <v>8.285438653852055E-4</v>
      </c>
      <c r="M317" s="122">
        <v>4.1823998269942579E-4</v>
      </c>
      <c r="N317" s="122">
        <v>3.9055233360755059E-2</v>
      </c>
      <c r="BD317" s="122" t="s">
        <v>18</v>
      </c>
      <c r="BE317" s="122" t="s">
        <v>28</v>
      </c>
      <c r="BF317" s="122" t="s">
        <v>14</v>
      </c>
      <c r="BG317" s="122" t="s">
        <v>25</v>
      </c>
      <c r="BH317" s="122" t="s">
        <v>37</v>
      </c>
      <c r="BI317" s="122" t="s">
        <v>52</v>
      </c>
      <c r="BJ317" s="122" t="s">
        <v>260</v>
      </c>
      <c r="BK317" s="122" t="s">
        <v>67</v>
      </c>
      <c r="BL317" s="122" t="s">
        <v>56</v>
      </c>
      <c r="BM317" s="122" t="s">
        <v>73</v>
      </c>
      <c r="BN317" s="122" t="s">
        <v>204</v>
      </c>
      <c r="BO317" s="122" t="s">
        <v>506</v>
      </c>
    </row>
    <row r="318" spans="2:68" x14ac:dyDescent="0.35">
      <c r="B318" s="122" t="s">
        <v>359</v>
      </c>
      <c r="C318" s="122">
        <v>1.1641318209290907E-2</v>
      </c>
      <c r="D318" s="122">
        <v>-2.4161598044969133E-3</v>
      </c>
      <c r="E318" s="122">
        <v>2.964391815717463E-3</v>
      </c>
      <c r="F318" s="122">
        <v>-7.4109795392936575E-4</v>
      </c>
      <c r="G318" s="122">
        <v>2.5454545454545455E-2</v>
      </c>
      <c r="H318" s="122">
        <v>5.4545454545454541E-3</v>
      </c>
      <c r="I318" s="122">
        <v>4.4000000000000003E-3</v>
      </c>
      <c r="J318" s="122">
        <v>4.985922725015586E-3</v>
      </c>
      <c r="K318" s="122">
        <v>3.0038396682225112E-2</v>
      </c>
      <c r="L318" s="122">
        <v>4.5187182685480012E-3</v>
      </c>
      <c r="M318" s="122">
        <v>1.7593229318620677E-4</v>
      </c>
      <c r="N318" s="122">
        <v>8.6476513144647896E-2</v>
      </c>
      <c r="P318" s="122" t="s">
        <v>479</v>
      </c>
      <c r="BB318" s="122">
        <v>2023</v>
      </c>
      <c r="BC318" s="122" t="s">
        <v>375</v>
      </c>
      <c r="BD318" s="122">
        <v>1.0347449498978036E-3</v>
      </c>
      <c r="BE318" s="122">
        <v>-1.0336086682377807E-4</v>
      </c>
      <c r="BF318" s="122">
        <v>3.4491498329926784E-4</v>
      </c>
      <c r="BG318" s="122">
        <v>-3.4491498329926788E-5</v>
      </c>
      <c r="BH318" s="122">
        <v>1.0654632223259673E-3</v>
      </c>
      <c r="BI318" s="122">
        <v>4.305425874053325E-4</v>
      </c>
      <c r="BJ318" s="122">
        <v>1.7869725535414797E-4</v>
      </c>
      <c r="BK318" s="122">
        <v>1.9885516794763114E-3</v>
      </c>
      <c r="BL318" s="122">
        <v>5.0630613349252557E-3</v>
      </c>
      <c r="BM318" s="122">
        <v>0</v>
      </c>
      <c r="BN318" s="122">
        <v>1.829443359540834E-3</v>
      </c>
      <c r="BO318" s="122">
        <v>1.1797567007071217E-2</v>
      </c>
    </row>
    <row r="319" spans="2:68" x14ac:dyDescent="0.35">
      <c r="B319" s="122" t="s">
        <v>358</v>
      </c>
      <c r="C319" s="122">
        <v>6.406113752333166E-3</v>
      </c>
      <c r="D319" s="122">
        <v>-1.3054394682679949E-3</v>
      </c>
      <c r="E319" s="122">
        <v>2.964391815717463E-3</v>
      </c>
      <c r="F319" s="122">
        <v>-7.4109795392936575E-4</v>
      </c>
      <c r="G319" s="122">
        <v>2.5454545454545455E-2</v>
      </c>
      <c r="H319" s="122">
        <v>7.2727272727272727E-3</v>
      </c>
      <c r="I319" s="122">
        <v>4.4000000000000003E-3</v>
      </c>
      <c r="J319" s="122">
        <v>6.47288861884585E-3</v>
      </c>
      <c r="K319" s="122">
        <v>3.3063859769054259E-2</v>
      </c>
      <c r="L319" s="122">
        <v>0</v>
      </c>
      <c r="M319" s="122">
        <v>6.3738697451547754E-3</v>
      </c>
      <c r="N319" s="122">
        <v>9.0361859006180878E-2</v>
      </c>
      <c r="R319" s="122" t="s">
        <v>18</v>
      </c>
      <c r="S319" s="122" t="s">
        <v>28</v>
      </c>
      <c r="T319" s="122" t="s">
        <v>14</v>
      </c>
      <c r="U319" s="122" t="s">
        <v>25</v>
      </c>
      <c r="V319" s="122" t="s">
        <v>37</v>
      </c>
      <c r="W319" s="122" t="s">
        <v>52</v>
      </c>
      <c r="X319" s="122" t="s">
        <v>260</v>
      </c>
      <c r="Y319" s="122" t="s">
        <v>67</v>
      </c>
      <c r="Z319" s="122" t="s">
        <v>56</v>
      </c>
      <c r="AA319" s="122" t="s">
        <v>73</v>
      </c>
      <c r="AB319" s="122" t="s">
        <v>204</v>
      </c>
      <c r="AC319" s="122" t="s">
        <v>506</v>
      </c>
      <c r="BC319" s="122" t="s">
        <v>371</v>
      </c>
      <c r="BD319" s="122">
        <v>1.0347449498978036E-3</v>
      </c>
      <c r="BE319" s="122">
        <v>-1.0336086682377807E-4</v>
      </c>
      <c r="BF319" s="122">
        <v>3.4491498329926784E-4</v>
      </c>
      <c r="BG319" s="122">
        <v>-3.4491498329926788E-5</v>
      </c>
      <c r="BH319" s="122">
        <v>1.0654632223259673E-3</v>
      </c>
      <c r="BI319" s="122">
        <v>4.305425874053325E-4</v>
      </c>
      <c r="BJ319" s="122">
        <v>1.7869725535414797E-4</v>
      </c>
      <c r="BK319" s="122">
        <v>4.4360443997863777E-3</v>
      </c>
      <c r="BL319" s="122">
        <v>6.8149727095636499E-3</v>
      </c>
      <c r="BM319" s="122">
        <v>0</v>
      </c>
      <c r="BN319" s="122">
        <v>1.7360815489011045E-3</v>
      </c>
      <c r="BO319" s="122">
        <v>1.5903609291379947E-2</v>
      </c>
    </row>
    <row r="320" spans="2:68" x14ac:dyDescent="0.35">
      <c r="B320" s="122" t="s">
        <v>362</v>
      </c>
      <c r="C320" s="122">
        <v>1.2195666695447615E-2</v>
      </c>
      <c r="D320" s="122">
        <v>-2.5312150332824808E-3</v>
      </c>
      <c r="E320" s="122">
        <v>1.552776665375814E-3</v>
      </c>
      <c r="F320" s="122">
        <v>-3.8819416634395349E-4</v>
      </c>
      <c r="G320" s="122">
        <v>2.6666666666666665E-2</v>
      </c>
      <c r="H320" s="122">
        <v>5.7142857142857143E-3</v>
      </c>
      <c r="I320" s="122">
        <v>4.4000000000000003E-3</v>
      </c>
      <c r="J320" s="122">
        <v>4.985922725015586E-3</v>
      </c>
      <c r="K320" s="122">
        <v>3.3758666671698537E-2</v>
      </c>
      <c r="L320" s="122">
        <v>4.5311262470014782E-3</v>
      </c>
      <c r="M320" s="122">
        <v>1.7593229318620677E-4</v>
      </c>
      <c r="N320" s="122">
        <v>9.1061634479051176E-2</v>
      </c>
      <c r="P320" s="122">
        <v>2023</v>
      </c>
      <c r="Q320" s="122" t="s">
        <v>375</v>
      </c>
      <c r="R320" s="122">
        <v>1.0347449498978036E-3</v>
      </c>
      <c r="S320" s="122">
        <v>-1.0336086682377807E-4</v>
      </c>
      <c r="T320" s="122">
        <v>3.4491498329926784E-4</v>
      </c>
      <c r="U320" s="122">
        <v>-3.4491498329926788E-5</v>
      </c>
      <c r="V320" s="122">
        <v>1.0654632223259673E-3</v>
      </c>
      <c r="W320" s="122">
        <v>4.305425874053325E-4</v>
      </c>
      <c r="X320" s="122">
        <v>1.7869725535414797E-4</v>
      </c>
      <c r="Y320" s="122">
        <v>1.7783083301043669E-3</v>
      </c>
      <c r="Z320" s="122">
        <v>4.906601167950787E-3</v>
      </c>
      <c r="AA320" s="122">
        <v>0</v>
      </c>
      <c r="AB320" s="122">
        <v>1.829443359540834E-3</v>
      </c>
      <c r="AC320" s="122">
        <v>1.1430863490724804E-2</v>
      </c>
      <c r="BC320" s="122" t="s">
        <v>343</v>
      </c>
      <c r="BD320" s="122">
        <v>7.6317014160409149E-4</v>
      </c>
      <c r="BE320" s="122">
        <v>-1.1346797345547289E-4</v>
      </c>
      <c r="BF320" s="122">
        <v>5.087458787818432E-4</v>
      </c>
      <c r="BG320" s="122">
        <v>-2.5437293939092156E-5</v>
      </c>
      <c r="BH320" s="122">
        <v>1.525610244097639E-3</v>
      </c>
      <c r="BI320" s="122">
        <v>2.6260504201680674E-3</v>
      </c>
      <c r="BJ320" s="122">
        <v>1.6256502601040416E-3</v>
      </c>
      <c r="BK320" s="122">
        <v>2.2211568098096379E-3</v>
      </c>
      <c r="BL320" s="122">
        <v>1.350779996204865E-2</v>
      </c>
      <c r="BM320" s="122">
        <v>0</v>
      </c>
      <c r="BN320" s="122">
        <v>8.6996317577796474E-4</v>
      </c>
      <c r="BO320" s="122">
        <v>2.3509241624997367E-2</v>
      </c>
    </row>
    <row r="321" spans="1:68" x14ac:dyDescent="0.35">
      <c r="B321" s="122" t="s">
        <v>361</v>
      </c>
      <c r="C321" s="122">
        <v>6.7111667881585542E-3</v>
      </c>
      <c r="D321" s="122">
        <v>-1.3676032524712327E-3</v>
      </c>
      <c r="E321" s="122">
        <v>1.552776665375814E-3</v>
      </c>
      <c r="F321" s="122">
        <v>-3.8819416634395349E-4</v>
      </c>
      <c r="G321" s="122">
        <v>2.6666666666666665E-2</v>
      </c>
      <c r="H321" s="122">
        <v>7.619047619047619E-3</v>
      </c>
      <c r="I321" s="122">
        <v>4.4000000000000003E-3</v>
      </c>
      <c r="J321" s="122">
        <v>6.47288861884585E-3</v>
      </c>
      <c r="K321" s="122">
        <v>3.7080287032533417E-2</v>
      </c>
      <c r="L321" s="122">
        <v>0</v>
      </c>
      <c r="M321" s="122">
        <v>6.3738697451547754E-3</v>
      </c>
      <c r="N321" s="122">
        <v>9.5120905716967519E-2</v>
      </c>
      <c r="Q321" s="122" t="s">
        <v>371</v>
      </c>
      <c r="R321" s="122">
        <v>1.0347449498978036E-3</v>
      </c>
      <c r="S321" s="122">
        <v>-1.0336086682377807E-4</v>
      </c>
      <c r="T321" s="122">
        <v>3.4491498329926784E-4</v>
      </c>
      <c r="U321" s="122">
        <v>-3.4491498329926788E-5</v>
      </c>
      <c r="V321" s="122">
        <v>1.0654632223259673E-3</v>
      </c>
      <c r="W321" s="122">
        <v>4.305425874053325E-4</v>
      </c>
      <c r="X321" s="122">
        <v>1.7869725535414797E-4</v>
      </c>
      <c r="Y321" s="122">
        <v>3.9670353002494918E-3</v>
      </c>
      <c r="Z321" s="122">
        <v>6.4659426820013136E-3</v>
      </c>
      <c r="AA321" s="122">
        <v>0</v>
      </c>
      <c r="AB321" s="122">
        <v>1.7360815489011045E-3</v>
      </c>
      <c r="AC321" s="122">
        <v>1.5085570164280724E-2</v>
      </c>
      <c r="BC321" s="122" t="s">
        <v>361</v>
      </c>
      <c r="BD321" s="122">
        <v>6.4495368251871292E-3</v>
      </c>
      <c r="BE321" s="122">
        <v>-1.6030702191455165E-3</v>
      </c>
      <c r="BF321" s="122">
        <v>1.552776665375814E-3</v>
      </c>
      <c r="BG321" s="122">
        <v>-3.8819416634395349E-4</v>
      </c>
      <c r="BH321" s="122">
        <v>2.6666666666666665E-2</v>
      </c>
      <c r="BI321" s="122">
        <v>7.619047619047619E-3</v>
      </c>
      <c r="BJ321" s="122">
        <v>4.4000000000000003E-3</v>
      </c>
      <c r="BK321" s="122">
        <v>7.4999956937941573E-3</v>
      </c>
      <c r="BL321" s="122">
        <v>3.5248037269803176E-2</v>
      </c>
      <c r="BM321" s="122">
        <v>0</v>
      </c>
      <c r="BN321" s="122">
        <v>2.9375323900042061E-3</v>
      </c>
      <c r="BO321" s="122">
        <v>9.0382328744389298E-2</v>
      </c>
    </row>
    <row r="322" spans="1:68" x14ac:dyDescent="0.35">
      <c r="B322" s="122" t="s">
        <v>367</v>
      </c>
      <c r="C322" s="122">
        <v>7.8296945861849807E-3</v>
      </c>
      <c r="D322" s="122">
        <v>-1.5955371278831049E-3</v>
      </c>
      <c r="E322" s="122">
        <v>2.1135015723170798E-3</v>
      </c>
      <c r="F322" s="122">
        <v>-5.2837539307926996E-4</v>
      </c>
      <c r="G322" s="122">
        <v>3.111111111111111E-2</v>
      </c>
      <c r="H322" s="122">
        <v>8.8888888888888889E-3</v>
      </c>
      <c r="I322" s="122">
        <v>4.4000000000000003E-3</v>
      </c>
      <c r="J322" s="122">
        <v>6.47288861884585E-3</v>
      </c>
      <c r="K322" s="122">
        <v>3.3608769211431043E-2</v>
      </c>
      <c r="L322" s="122">
        <v>0</v>
      </c>
      <c r="M322" s="122">
        <v>6.3738697451547754E-3</v>
      </c>
      <c r="N322" s="122">
        <v>9.8674811212971364E-2</v>
      </c>
      <c r="Q322" s="122" t="s">
        <v>327</v>
      </c>
      <c r="R322" s="122">
        <v>2.0676718491395704E-3</v>
      </c>
      <c r="S322" s="122">
        <v>-1.0351994625618128E-4</v>
      </c>
      <c r="T322" s="122">
        <v>3.4491498329926784E-4</v>
      </c>
      <c r="U322" s="122">
        <v>-3.4491498329926788E-5</v>
      </c>
      <c r="V322" s="122">
        <v>1.0654632223259673E-3</v>
      </c>
      <c r="W322" s="122">
        <v>2.9878618113912231E-4</v>
      </c>
      <c r="X322" s="122">
        <v>1.7869725535414797E-4</v>
      </c>
      <c r="Y322" s="122">
        <v>9.2128900440359533E-3</v>
      </c>
      <c r="Z322" s="122">
        <v>9.9327397382310504E-3</v>
      </c>
      <c r="AA322" s="122">
        <v>1.1602727202243267E-3</v>
      </c>
      <c r="AB322" s="122">
        <v>2.4772393588019895E-4</v>
      </c>
      <c r="AC322" s="122">
        <v>2.4371148485043501E-2</v>
      </c>
    </row>
    <row r="323" spans="1:68" x14ac:dyDescent="0.35">
      <c r="B323" s="122" t="s">
        <v>368</v>
      </c>
      <c r="C323" s="122">
        <v>1.4228277811355551E-2</v>
      </c>
      <c r="D323" s="122">
        <v>-2.9530842054962272E-3</v>
      </c>
      <c r="E323" s="122">
        <v>2.1135015723170798E-3</v>
      </c>
      <c r="F323" s="122">
        <v>-5.2837539307926996E-4</v>
      </c>
      <c r="G323" s="122">
        <v>3.111111111111111E-2</v>
      </c>
      <c r="H323" s="122">
        <v>6.6666666666666662E-3</v>
      </c>
      <c r="I323" s="122">
        <v>4.4000000000000003E-3</v>
      </c>
      <c r="J323" s="122">
        <v>4.985922725015586E-3</v>
      </c>
      <c r="K323" s="122">
        <v>3.4456895644069833E-2</v>
      </c>
      <c r="L323" s="122">
        <v>5.1833992829732126E-3</v>
      </c>
      <c r="M323" s="122">
        <v>1.7593229318620677E-4</v>
      </c>
      <c r="N323" s="122">
        <v>9.9840247508119748E-2</v>
      </c>
      <c r="Q323" s="122" t="s">
        <v>326</v>
      </c>
      <c r="R323" s="122">
        <v>2.0678991054715748E-3</v>
      </c>
      <c r="S323" s="122">
        <v>-1.0354267188938173E-4</v>
      </c>
      <c r="T323" s="122">
        <v>3.4491498329926784E-4</v>
      </c>
      <c r="U323" s="122">
        <v>-3.4491498329926788E-5</v>
      </c>
      <c r="V323" s="122">
        <v>1.0654632223259673E-3</v>
      </c>
      <c r="W323" s="122">
        <v>2.9878618113912231E-4</v>
      </c>
      <c r="X323" s="122">
        <v>1.7869725535414797E-4</v>
      </c>
      <c r="Y323" s="122">
        <v>1.0440356851305966E-2</v>
      </c>
      <c r="Z323" s="122">
        <v>1.0842877264886136E-2</v>
      </c>
      <c r="AA323" s="122">
        <v>1.6181117367482459E-3</v>
      </c>
      <c r="AB323" s="122">
        <v>2.4304989935415751E-4</v>
      </c>
      <c r="AC323" s="122">
        <v>2.6962122329665272E-2</v>
      </c>
    </row>
    <row r="324" spans="1:68" x14ac:dyDescent="0.35">
      <c r="B324" s="122" t="s">
        <v>360</v>
      </c>
      <c r="C324" s="122">
        <v>1.2983934501295575E-2</v>
      </c>
      <c r="D324" s="122">
        <v>-2.5975276068232966E-3</v>
      </c>
      <c r="E324" s="122">
        <v>2.964391815717463E-3</v>
      </c>
      <c r="F324" s="122">
        <v>-7.4109795392936575E-4</v>
      </c>
      <c r="G324" s="122">
        <v>2.5454545454545455E-2</v>
      </c>
      <c r="H324" s="122">
        <v>7.3714603239921801E-3</v>
      </c>
      <c r="I324" s="122">
        <v>4.4000000000000003E-3</v>
      </c>
      <c r="J324" s="122">
        <v>1.3466646239242928E-2</v>
      </c>
      <c r="K324" s="122">
        <v>3.6697839007278216E-2</v>
      </c>
      <c r="L324" s="122">
        <v>2.4932614832680611E-3</v>
      </c>
      <c r="M324" s="122">
        <v>4.5605399770604809E-4</v>
      </c>
      <c r="N324" s="122">
        <v>0.10294950726229327</v>
      </c>
      <c r="Q324" s="122" t="s">
        <v>328</v>
      </c>
      <c r="R324" s="122">
        <v>1.3444866658711308E-3</v>
      </c>
      <c r="S324" s="122">
        <v>-6.7337961459558828E-5</v>
      </c>
      <c r="T324" s="122">
        <v>3.4491498329926784E-4</v>
      </c>
      <c r="U324" s="122">
        <v>-3.4491498329926788E-5</v>
      </c>
      <c r="V324" s="122">
        <v>1.0654632223259673E-3</v>
      </c>
      <c r="W324" s="122">
        <v>4.305425874053325E-4</v>
      </c>
      <c r="X324" s="122">
        <v>1.7869725535414797E-4</v>
      </c>
      <c r="Y324" s="122">
        <v>2.2412966844817715E-2</v>
      </c>
      <c r="Z324" s="122">
        <v>1.9392500343099733E-2</v>
      </c>
      <c r="AA324" s="122">
        <v>1.0857780140016773E-3</v>
      </c>
      <c r="AB324" s="122">
        <v>3.1444724009633705E-4</v>
      </c>
      <c r="AC324" s="122">
        <v>4.6467967696481816E-2</v>
      </c>
    </row>
    <row r="325" spans="1:68" x14ac:dyDescent="0.35">
      <c r="B325" s="122" t="s">
        <v>363</v>
      </c>
      <c r="C325" s="122">
        <v>1.3602217096595365E-2</v>
      </c>
      <c r="D325" s="122">
        <v>-2.721219397624406E-3</v>
      </c>
      <c r="E325" s="122">
        <v>1.552776665375814E-3</v>
      </c>
      <c r="F325" s="122">
        <v>-3.8819416634395349E-4</v>
      </c>
      <c r="G325" s="122">
        <v>2.6666666666666665E-2</v>
      </c>
      <c r="H325" s="122">
        <v>7.7224822441822839E-3</v>
      </c>
      <c r="I325" s="122">
        <v>4.4000000000000003E-3</v>
      </c>
      <c r="J325" s="122">
        <v>1.3466646239242928E-2</v>
      </c>
      <c r="K325" s="122">
        <v>4.1314798101655878E-2</v>
      </c>
      <c r="L325" s="122">
        <v>2.5044671072660674E-3</v>
      </c>
      <c r="M325" s="122">
        <v>4.5605399770604809E-4</v>
      </c>
      <c r="N325" s="122">
        <v>0.10857669455472269</v>
      </c>
      <c r="P325" s="122">
        <v>2034</v>
      </c>
      <c r="Q325" s="122" t="s">
        <v>375</v>
      </c>
      <c r="R325" s="122">
        <v>1.0347449498978036E-3</v>
      </c>
      <c r="S325" s="122">
        <v>-9.7956440009122124E-5</v>
      </c>
      <c r="T325" s="122">
        <v>3.4491498329926784E-4</v>
      </c>
      <c r="U325" s="122">
        <v>-3.4491498329926788E-5</v>
      </c>
      <c r="V325" s="122">
        <v>1.0654632223259673E-3</v>
      </c>
      <c r="W325" s="122">
        <v>4.305425874053325E-4</v>
      </c>
      <c r="X325" s="122">
        <v>1.7869725535414797E-4</v>
      </c>
      <c r="Y325" s="122">
        <v>8.3893771583125115E-4</v>
      </c>
      <c r="Z325" s="122">
        <v>5.9403176916936039E-3</v>
      </c>
      <c r="AA325" s="122">
        <v>0</v>
      </c>
      <c r="AB325" s="122">
        <v>4.1524661257787056E-3</v>
      </c>
      <c r="AC325" s="122">
        <v>1.385363659324703E-2</v>
      </c>
    </row>
    <row r="326" spans="1:68" x14ac:dyDescent="0.35">
      <c r="B326" s="122" t="s">
        <v>369</v>
      </c>
      <c r="C326" s="122">
        <v>1.586925327936126E-2</v>
      </c>
      <c r="D326" s="122">
        <v>-3.1747559638951399E-3</v>
      </c>
      <c r="E326" s="122">
        <v>2.1135015723170798E-3</v>
      </c>
      <c r="F326" s="122">
        <v>-5.2837539307926996E-4</v>
      </c>
      <c r="G326" s="122">
        <v>3.111111111111111E-2</v>
      </c>
      <c r="H326" s="122">
        <v>9.0095626182126638E-3</v>
      </c>
      <c r="I326" s="122">
        <v>4.4000000000000003E-3</v>
      </c>
      <c r="J326" s="122">
        <v>1.3466646239242928E-2</v>
      </c>
      <c r="K326" s="122">
        <v>4.1501108389013566E-2</v>
      </c>
      <c r="L326" s="122">
        <v>2.8195969533448134E-3</v>
      </c>
      <c r="M326" s="122">
        <v>4.5605399770604809E-4</v>
      </c>
      <c r="N326" s="122">
        <v>0.11704370280333506</v>
      </c>
      <c r="Q326" s="122" t="s">
        <v>371</v>
      </c>
      <c r="R326" s="122">
        <v>1.0347449498978036E-3</v>
      </c>
      <c r="S326" s="122">
        <v>-9.7956440009122124E-5</v>
      </c>
      <c r="T326" s="122">
        <v>3.4491498329926784E-4</v>
      </c>
      <c r="U326" s="122">
        <v>-3.4491498329926788E-5</v>
      </c>
      <c r="V326" s="122">
        <v>1.0654632223259673E-3</v>
      </c>
      <c r="W326" s="122">
        <v>4.305425874053325E-4</v>
      </c>
      <c r="X326" s="122">
        <v>1.7869725535414797E-4</v>
      </c>
      <c r="Y326" s="122">
        <v>1.8714952165904367E-3</v>
      </c>
      <c r="Z326" s="122">
        <v>6.5510303154043843E-3</v>
      </c>
      <c r="AA326" s="122">
        <v>0</v>
      </c>
      <c r="AB326" s="122">
        <v>3.9405537131308793E-3</v>
      </c>
      <c r="AC326" s="122">
        <v>1.5284994305069171E-2</v>
      </c>
    </row>
    <row r="327" spans="1:68" x14ac:dyDescent="0.35">
      <c r="B327" s="122" t="s">
        <v>365</v>
      </c>
      <c r="C327" s="122">
        <v>1.6417243628487177E-2</v>
      </c>
      <c r="D327" s="122">
        <v>-3.4074048524956467E-3</v>
      </c>
      <c r="E327" s="122">
        <v>2.7870350404181278E-3</v>
      </c>
      <c r="F327" s="122">
        <v>-6.9675876010453195E-4</v>
      </c>
      <c r="G327" s="122">
        <v>3.5897435897435902E-2</v>
      </c>
      <c r="H327" s="122">
        <v>7.6923076923076927E-3</v>
      </c>
      <c r="I327" s="122">
        <v>4.4000000000000003E-3</v>
      </c>
      <c r="J327" s="122">
        <v>4.9859227250155852E-3</v>
      </c>
      <c r="K327" s="122">
        <v>4.3906776181507109E-2</v>
      </c>
      <c r="L327" s="122">
        <v>5.8932169303959198E-3</v>
      </c>
      <c r="M327" s="122">
        <v>1.7593229318620677E-4</v>
      </c>
      <c r="N327" s="122">
        <v>0.11805170677615352</v>
      </c>
      <c r="Q327" s="122" t="s">
        <v>327</v>
      </c>
      <c r="R327" s="122">
        <v>1.9812010201050753E-3</v>
      </c>
      <c r="S327" s="122">
        <v>-1.0568171698204363E-4</v>
      </c>
      <c r="T327" s="122">
        <v>3.4491498329926784E-4</v>
      </c>
      <c r="U327" s="122">
        <v>-3.4491498329926788E-5</v>
      </c>
      <c r="V327" s="122">
        <v>1.0654632223259673E-3</v>
      </c>
      <c r="W327" s="122">
        <v>2.9878618113912231E-4</v>
      </c>
      <c r="X327" s="122">
        <v>1.7869725535414797E-4</v>
      </c>
      <c r="Y327" s="122">
        <v>8.0928925477125307E-3</v>
      </c>
      <c r="Z327" s="122">
        <v>9.0941452219702769E-3</v>
      </c>
      <c r="AA327" s="122">
        <v>1.047250111554987E-3</v>
      </c>
      <c r="AB327" s="122">
        <v>3.29492650738565E-4</v>
      </c>
      <c r="AC327" s="122">
        <v>2.2292669978887968E-2</v>
      </c>
    </row>
    <row r="328" spans="1:68" x14ac:dyDescent="0.35">
      <c r="B328" s="122" t="s">
        <v>364</v>
      </c>
      <c r="C328" s="122">
        <v>9.034262984059592E-3</v>
      </c>
      <c r="D328" s="122">
        <v>-1.8410043783266593E-3</v>
      </c>
      <c r="E328" s="122">
        <v>2.7870350404181278E-3</v>
      </c>
      <c r="F328" s="122">
        <v>-6.9675876010453195E-4</v>
      </c>
      <c r="G328" s="122">
        <v>3.5897435897435902E-2</v>
      </c>
      <c r="H328" s="122">
        <v>1.0256410256410255E-2</v>
      </c>
      <c r="I328" s="122">
        <v>4.4000000000000003E-3</v>
      </c>
      <c r="J328" s="122">
        <v>6.47288861884585E-3</v>
      </c>
      <c r="K328" s="122">
        <v>4.6701131539108001E-2</v>
      </c>
      <c r="L328" s="122">
        <v>0</v>
      </c>
      <c r="M328" s="122">
        <v>6.3738697451547754E-3</v>
      </c>
      <c r="N328" s="122">
        <v>0.11938527094300132</v>
      </c>
      <c r="Q328" s="122" t="s">
        <v>326</v>
      </c>
      <c r="R328" s="122">
        <v>1.9922371300663917E-3</v>
      </c>
      <c r="S328" s="122">
        <v>-1.067853279781753E-4</v>
      </c>
      <c r="T328" s="122">
        <v>3.4491498329926784E-4</v>
      </c>
      <c r="U328" s="122">
        <v>-3.4491498329926788E-5</v>
      </c>
      <c r="V328" s="122">
        <v>1.0654632223259673E-3</v>
      </c>
      <c r="W328" s="122">
        <v>2.9878618113912231E-4</v>
      </c>
      <c r="X328" s="122">
        <v>1.7869725535414797E-4</v>
      </c>
      <c r="Y328" s="122">
        <v>8.4398865141135527E-3</v>
      </c>
      <c r="Z328" s="122">
        <v>9.3551384297093972E-3</v>
      </c>
      <c r="AA328" s="122">
        <v>1.3637472061323753E-3</v>
      </c>
      <c r="AB328" s="122">
        <v>3.2327580827179973E-4</v>
      </c>
      <c r="AC328" s="122">
        <v>2.3220869904103918E-2</v>
      </c>
      <c r="BB328" s="122" t="s">
        <v>481</v>
      </c>
    </row>
    <row r="329" spans="1:68" x14ac:dyDescent="0.35">
      <c r="B329" s="122" t="s">
        <v>366</v>
      </c>
      <c r="C329" s="122">
        <v>1.8310676860801452E-2</v>
      </c>
      <c r="D329" s="122">
        <v>-3.6631799583405462E-3</v>
      </c>
      <c r="E329" s="122">
        <v>2.7870350404181278E-3</v>
      </c>
      <c r="F329" s="122">
        <v>-6.9675876010453195E-4</v>
      </c>
      <c r="G329" s="122">
        <v>3.5897435897435902E-2</v>
      </c>
      <c r="H329" s="122">
        <v>1.0395649174860766E-2</v>
      </c>
      <c r="I329" s="122">
        <v>4.4000000000000003E-3</v>
      </c>
      <c r="J329" s="122">
        <v>1.3466646239242928E-2</v>
      </c>
      <c r="K329" s="122">
        <v>5.2166634877274909E-2</v>
      </c>
      <c r="L329" s="122">
        <v>3.1622960089367491E-3</v>
      </c>
      <c r="M329" s="122">
        <v>4.5605399770604809E-4</v>
      </c>
      <c r="N329" s="122">
        <v>0.1366824893782318</v>
      </c>
      <c r="Q329" s="122" t="s">
        <v>328</v>
      </c>
      <c r="R329" s="122">
        <v>1.3120601049831952E-3</v>
      </c>
      <c r="S329" s="122">
        <v>-7.1121060229817985E-5</v>
      </c>
      <c r="T329" s="122">
        <v>3.4491498329926784E-4</v>
      </c>
      <c r="U329" s="122">
        <v>-3.4491498329926788E-5</v>
      </c>
      <c r="V329" s="122">
        <v>1.0654632223259673E-3</v>
      </c>
      <c r="W329" s="122">
        <v>4.305425874053325E-4</v>
      </c>
      <c r="X329" s="122">
        <v>1.7869725535414797E-4</v>
      </c>
      <c r="Y329" s="122">
        <v>1.3920695198697394E-2</v>
      </c>
      <c r="Z329" s="122">
        <v>1.3122964668178486E-2</v>
      </c>
      <c r="AA329" s="122">
        <v>7.3474932386936864E-4</v>
      </c>
      <c r="AB329" s="122">
        <v>4.1823998269942579E-4</v>
      </c>
      <c r="AC329" s="122">
        <v>3.1422714768252841E-2</v>
      </c>
      <c r="BD329" s="122" t="s">
        <v>18</v>
      </c>
      <c r="BE329" s="122" t="s">
        <v>28</v>
      </c>
      <c r="BF329" s="122" t="s">
        <v>14</v>
      </c>
      <c r="BG329" s="122" t="s">
        <v>25</v>
      </c>
      <c r="BH329" s="122" t="s">
        <v>37</v>
      </c>
      <c r="BI329" s="122" t="s">
        <v>52</v>
      </c>
      <c r="BJ329" s="122" t="s">
        <v>260</v>
      </c>
      <c r="BK329" s="122" t="s">
        <v>67</v>
      </c>
      <c r="BL329" s="122" t="s">
        <v>56</v>
      </c>
      <c r="BM329" s="122" t="s">
        <v>73</v>
      </c>
      <c r="BN329" s="122" t="s">
        <v>204</v>
      </c>
      <c r="BO329" s="122" t="s">
        <v>506</v>
      </c>
    </row>
    <row r="330" spans="1:68" x14ac:dyDescent="0.35">
      <c r="B330" s="122" t="s">
        <v>355</v>
      </c>
      <c r="C330" s="122">
        <v>1.2812227504666332E-2</v>
      </c>
      <c r="D330" s="122">
        <v>-2.6108789365359899E-3</v>
      </c>
      <c r="E330" s="122">
        <v>3.9525224209566176E-3</v>
      </c>
      <c r="F330" s="122">
        <v>-9.8813060523915441E-4</v>
      </c>
      <c r="G330" s="122">
        <v>5.0909090909090911E-2</v>
      </c>
      <c r="H330" s="122">
        <v>1.4545454545454545E-2</v>
      </c>
      <c r="I330" s="122">
        <v>4.4000000000000003E-3</v>
      </c>
      <c r="J330" s="122">
        <v>6.47288861884585E-3</v>
      </c>
      <c r="K330" s="122">
        <v>7.6876882824399598E-2</v>
      </c>
      <c r="L330" s="122">
        <v>0</v>
      </c>
      <c r="M330" s="122">
        <v>6.3738697451547754E-3</v>
      </c>
      <c r="N330" s="122">
        <v>0.17274392702679348</v>
      </c>
      <c r="P330" s="122">
        <v>2050</v>
      </c>
      <c r="Q330" s="122" t="s">
        <v>375</v>
      </c>
      <c r="R330" s="122">
        <v>1.0347449498978036E-3</v>
      </c>
      <c r="S330" s="122">
        <v>-5.2575506979843073E-5</v>
      </c>
      <c r="T330" s="122">
        <v>3.4491498329926784E-4</v>
      </c>
      <c r="U330" s="122">
        <v>-3.4491498329926788E-5</v>
      </c>
      <c r="V330" s="122">
        <v>1.0654632223259673E-3</v>
      </c>
      <c r="W330" s="122">
        <v>4.305425874053325E-4</v>
      </c>
      <c r="X330" s="122">
        <v>1.7869725535414797E-4</v>
      </c>
      <c r="Y330" s="122">
        <v>5.0846159148288761E-4</v>
      </c>
      <c r="Z330" s="122">
        <v>5.5987377442056419E-3</v>
      </c>
      <c r="AA330" s="122">
        <v>0</v>
      </c>
      <c r="AB330" s="122">
        <v>3.9785632626608411E-3</v>
      </c>
      <c r="AC330" s="122">
        <v>1.3053058591322119E-2</v>
      </c>
      <c r="BB330" s="122">
        <v>2023</v>
      </c>
      <c r="BC330" s="122" t="s">
        <v>361</v>
      </c>
      <c r="BD330" s="122">
        <v>6.4495368251871292E-3</v>
      </c>
      <c r="BE330" s="122">
        <v>-1.6030702191455165E-3</v>
      </c>
      <c r="BF330" s="122">
        <v>1.552776665375814E-3</v>
      </c>
      <c r="BG330" s="122">
        <v>-3.8819416634395349E-4</v>
      </c>
      <c r="BH330" s="122">
        <v>2.6666666666666665E-2</v>
      </c>
      <c r="BI330" s="122">
        <v>7.619047619047619E-3</v>
      </c>
      <c r="BJ330" s="122">
        <v>4.4000000000000003E-3</v>
      </c>
      <c r="BK330" s="122">
        <v>7.7725726298020935E-3</v>
      </c>
      <c r="BL330" s="122">
        <v>3.5419879251199486E-2</v>
      </c>
      <c r="BM330" s="122">
        <v>0</v>
      </c>
      <c r="BN330" s="122">
        <v>2.9375323900042061E-3</v>
      </c>
      <c r="BO330" s="122">
        <v>9.0826747661793536E-2</v>
      </c>
      <c r="BP330" s="122">
        <f>BD330+BF330+BH330+BI330+BJ330+BK330+BL330+BM330+BN330</f>
        <v>9.2818012047283002E-2</v>
      </c>
    </row>
    <row r="331" spans="1:68" x14ac:dyDescent="0.35">
      <c r="B331" s="122" t="s">
        <v>356</v>
      </c>
      <c r="C331" s="122">
        <v>2.3282636418581814E-2</v>
      </c>
      <c r="D331" s="122">
        <v>-4.8323196089938266E-3</v>
      </c>
      <c r="E331" s="122">
        <v>3.9525224209566176E-3</v>
      </c>
      <c r="F331" s="122">
        <v>-9.8813060523915441E-4</v>
      </c>
      <c r="G331" s="122">
        <v>5.0909090909090911E-2</v>
      </c>
      <c r="H331" s="122">
        <v>1.0909090909090908E-2</v>
      </c>
      <c r="I331" s="122">
        <v>4.4000000000000003E-3</v>
      </c>
      <c r="J331" s="122">
        <v>5.5719568088488311E-3</v>
      </c>
      <c r="K331" s="122">
        <v>7.4923389165429066E-2</v>
      </c>
      <c r="L331" s="122">
        <v>8.0688902521887235E-3</v>
      </c>
      <c r="M331" s="122">
        <v>1.7593229318620677E-4</v>
      </c>
      <c r="N331" s="122">
        <v>0.17637305896314012</v>
      </c>
      <c r="Q331" s="122" t="s">
        <v>371</v>
      </c>
      <c r="R331" s="122">
        <v>1.0347449498978036E-3</v>
      </c>
      <c r="S331" s="122">
        <v>-5.2575506979843073E-5</v>
      </c>
      <c r="T331" s="122">
        <v>3.4491498329926784E-4</v>
      </c>
      <c r="U331" s="122">
        <v>-3.4491498329926788E-5</v>
      </c>
      <c r="V331" s="122">
        <v>1.0654632223259673E-3</v>
      </c>
      <c r="W331" s="122">
        <v>4.305425874053325E-4</v>
      </c>
      <c r="X331" s="122">
        <v>1.7869725535414797E-4</v>
      </c>
      <c r="Y331" s="122">
        <v>1.1342718515609E-3</v>
      </c>
      <c r="Z331" s="122">
        <v>5.9133592257777992E-3</v>
      </c>
      <c r="AA331" s="122">
        <v>0</v>
      </c>
      <c r="AB331" s="122">
        <v>3.7755256184454147E-3</v>
      </c>
      <c r="AC331" s="122">
        <v>1.3790452688756862E-2</v>
      </c>
      <c r="BC331" s="122" t="s">
        <v>362</v>
      </c>
      <c r="BD331" s="122">
        <v>2.3691681943378187E-2</v>
      </c>
      <c r="BE331" s="122">
        <v>-3.6019223357858176E-3</v>
      </c>
      <c r="BF331" s="122">
        <v>1.552776665375814E-3</v>
      </c>
      <c r="BG331" s="122">
        <v>-3.8819416634395349E-4</v>
      </c>
      <c r="BH331" s="122">
        <v>2.6666666666666665E-2</v>
      </c>
      <c r="BI331" s="122">
        <v>5.7142857142857143E-3</v>
      </c>
      <c r="BJ331" s="122">
        <v>4.4000000000000003E-3</v>
      </c>
      <c r="BK331" s="122">
        <v>5.6498629919985045E-3</v>
      </c>
      <c r="BL331" s="122">
        <v>4.0722189467796682E-2</v>
      </c>
      <c r="BM331" s="122">
        <v>7.1244889189110566E-3</v>
      </c>
      <c r="BN331" s="122">
        <v>1.3227196424206973E-4</v>
      </c>
      <c r="BO331" s="122">
        <v>0.11166410783052493</v>
      </c>
      <c r="BP331" s="122">
        <f t="shared" ref="BP331:BP338" si="7">BD331+BF331+BH331+BI331+BJ331+BK331+BL331+BM331+BN331</f>
        <v>0.1156542243326547</v>
      </c>
    </row>
    <row r="332" spans="1:68" x14ac:dyDescent="0.35">
      <c r="B332" s="122" t="s">
        <v>357</v>
      </c>
      <c r="C332" s="122">
        <v>2.5967869002591151E-2</v>
      </c>
      <c r="D332" s="122">
        <v>-5.1950552136465931E-3</v>
      </c>
      <c r="E332" s="122">
        <v>3.9525224209566176E-3</v>
      </c>
      <c r="F332" s="122">
        <v>-9.8813060523915441E-4</v>
      </c>
      <c r="G332" s="122">
        <v>5.0909090909090911E-2</v>
      </c>
      <c r="H332" s="122">
        <v>1.474292064798436E-2</v>
      </c>
      <c r="I332" s="122">
        <v>4.4000000000000003E-3</v>
      </c>
      <c r="J332" s="122">
        <v>1.3466646239242928E-2</v>
      </c>
      <c r="K332" s="122">
        <v>8.6183568907200733E-2</v>
      </c>
      <c r="L332" s="122">
        <v>4.1918881749010567E-3</v>
      </c>
      <c r="M332" s="122">
        <v>4.5605399770604809E-4</v>
      </c>
      <c r="N332" s="122">
        <v>0.19808737448078806</v>
      </c>
      <c r="Q332" s="122" t="s">
        <v>327</v>
      </c>
      <c r="R332" s="122">
        <v>1.2551060916366106E-3</v>
      </c>
      <c r="S332" s="122">
        <v>-1.2383409019375524E-4</v>
      </c>
      <c r="T332" s="122">
        <v>3.4491498329926784E-4</v>
      </c>
      <c r="U332" s="122">
        <v>-3.4491498329926788E-5</v>
      </c>
      <c r="V332" s="122">
        <v>1.0654632223259673E-3</v>
      </c>
      <c r="W332" s="122">
        <v>2.9878618113912231E-4</v>
      </c>
      <c r="X332" s="122">
        <v>1.7869725535414797E-4</v>
      </c>
      <c r="Y332" s="122">
        <v>5.06422406492032E-3</v>
      </c>
      <c r="Z332" s="122">
        <v>6.0421640724801131E-3</v>
      </c>
      <c r="AA332" s="122">
        <v>6.126406509114387E-4</v>
      </c>
      <c r="AB332" s="122">
        <v>1.3087655835441336E-6</v>
      </c>
      <c r="AC332" s="122">
        <v>1.470497969912685E-2</v>
      </c>
      <c r="BC332" s="122" t="s">
        <v>363</v>
      </c>
      <c r="BD332" s="122">
        <v>2.3374265103106976E-2</v>
      </c>
      <c r="BE332" s="122">
        <v>-3.5424872620014453E-3</v>
      </c>
      <c r="BF332" s="122">
        <v>1.552776665375814E-3</v>
      </c>
      <c r="BG332" s="122">
        <v>-3.8819416634395349E-4</v>
      </c>
      <c r="BH332" s="122">
        <v>2.6666666666666665E-2</v>
      </c>
      <c r="BI332" s="122">
        <v>9.7882661839723516E-3</v>
      </c>
      <c r="BJ332" s="122">
        <v>4.4000000000000003E-3</v>
      </c>
      <c r="BK332" s="122">
        <v>1.9709416352132133E-2</v>
      </c>
      <c r="BL332" s="122">
        <v>5.2124332062707626E-2</v>
      </c>
      <c r="BM332" s="122">
        <v>4.3153084595425883E-3</v>
      </c>
      <c r="BN332" s="122">
        <v>3.4287712042257822E-4</v>
      </c>
      <c r="BO332" s="122">
        <v>0.13834322718558134</v>
      </c>
      <c r="BP332" s="122">
        <f t="shared" si="7"/>
        <v>0.14227390861392675</v>
      </c>
    </row>
    <row r="333" spans="1:68" x14ac:dyDescent="0.35">
      <c r="A333" s="123" t="s">
        <v>379</v>
      </c>
      <c r="B333" s="122" t="s">
        <v>380</v>
      </c>
      <c r="C333" s="122" t="s">
        <v>381</v>
      </c>
      <c r="D333" s="122" t="s">
        <v>382</v>
      </c>
      <c r="E333" s="122" t="s">
        <v>383</v>
      </c>
      <c r="F333" s="122" t="s">
        <v>384</v>
      </c>
      <c r="G333" s="122" t="s">
        <v>385</v>
      </c>
      <c r="H333" s="122" t="s">
        <v>386</v>
      </c>
      <c r="I333" s="122" t="s">
        <v>387</v>
      </c>
      <c r="J333" s="122" t="s">
        <v>388</v>
      </c>
      <c r="K333" s="122" t="s">
        <v>389</v>
      </c>
      <c r="L333" s="122" t="s">
        <v>390</v>
      </c>
      <c r="M333" s="122" t="s">
        <v>391</v>
      </c>
      <c r="N333" s="122" t="s">
        <v>392</v>
      </c>
      <c r="Q333" s="122" t="s">
        <v>326</v>
      </c>
      <c r="R333" s="122">
        <v>1.3569040676564852E-3</v>
      </c>
      <c r="S333" s="122">
        <v>-1.3401388779574273E-4</v>
      </c>
      <c r="T333" s="122">
        <v>3.4491498329926784E-4</v>
      </c>
      <c r="U333" s="122">
        <v>-3.4491498329926788E-5</v>
      </c>
      <c r="V333" s="122">
        <v>1.0654632223259673E-3</v>
      </c>
      <c r="W333" s="122">
        <v>2.9878618113912231E-4</v>
      </c>
      <c r="X333" s="122">
        <v>1.7869725535414797E-4</v>
      </c>
      <c r="Y333" s="122">
        <v>4.940203737995261E-3</v>
      </c>
      <c r="Z333" s="122">
        <v>6.0180324689843544E-3</v>
      </c>
      <c r="AA333" s="122">
        <v>7.062911132346382E-4</v>
      </c>
      <c r="AB333" s="122">
        <v>1.2840718932885571E-6</v>
      </c>
      <c r="AC333" s="122">
        <v>1.4742071715756864E-2</v>
      </c>
      <c r="BB333" s="122">
        <v>2034</v>
      </c>
      <c r="BC333" s="122" t="s">
        <v>362</v>
      </c>
      <c r="BD333" s="122">
        <v>1.2195666695447615E-2</v>
      </c>
      <c r="BE333" s="122">
        <v>-2.5312150332824808E-3</v>
      </c>
      <c r="BF333" s="122">
        <v>1.552776665375814E-3</v>
      </c>
      <c r="BG333" s="122">
        <v>-3.8819416634395349E-4</v>
      </c>
      <c r="BH333" s="122">
        <v>2.6666666666666665E-2</v>
      </c>
      <c r="BI333" s="122">
        <v>5.7142857142857143E-3</v>
      </c>
      <c r="BJ333" s="122">
        <v>4.4000000000000003E-3</v>
      </c>
      <c r="BK333" s="122">
        <v>4.985922725015586E-3</v>
      </c>
      <c r="BL333" s="122">
        <v>3.3758666671698537E-2</v>
      </c>
      <c r="BM333" s="122">
        <v>4.5311262470014782E-3</v>
      </c>
      <c r="BN333" s="122">
        <v>1.7593229318620677E-4</v>
      </c>
      <c r="BO333" s="122">
        <v>9.1061634479051176E-2</v>
      </c>
      <c r="BP333" s="122">
        <f t="shared" si="7"/>
        <v>9.3981043678677614E-2</v>
      </c>
    </row>
    <row r="334" spans="1:68" x14ac:dyDescent="0.35">
      <c r="B334" s="122" t="s">
        <v>377</v>
      </c>
      <c r="C334" s="122">
        <v>1.0347449498978036E-3</v>
      </c>
      <c r="D334" s="122">
        <v>-5.2575506979843073E-5</v>
      </c>
      <c r="E334" s="122">
        <v>6.8982996659853576E-5</v>
      </c>
      <c r="F334" s="122">
        <v>-6.8982996659853564E-6</v>
      </c>
      <c r="G334" s="122">
        <v>1.0654632223259673E-3</v>
      </c>
      <c r="H334" s="122">
        <v>4.305425874053325E-4</v>
      </c>
      <c r="I334" s="122">
        <v>8.6011184229469056E-5</v>
      </c>
      <c r="J334" s="122">
        <v>1.6880924837231871E-3</v>
      </c>
      <c r="K334" s="122">
        <v>3.9090463433358071E-3</v>
      </c>
      <c r="L334" s="122">
        <v>0</v>
      </c>
      <c r="M334" s="122">
        <v>3.9785632626608411E-3</v>
      </c>
      <c r="N334" s="122">
        <v>1.2201973223592434E-2</v>
      </c>
      <c r="Q334" s="122" t="s">
        <v>328</v>
      </c>
      <c r="R334" s="122">
        <v>1.0397745068075209E-3</v>
      </c>
      <c r="S334" s="122">
        <v>-1.0288771335031333E-4</v>
      </c>
      <c r="T334" s="122">
        <v>3.4491498329926784E-4</v>
      </c>
      <c r="U334" s="122">
        <v>-3.4491498329926788E-5</v>
      </c>
      <c r="V334" s="122">
        <v>1.0654632223259673E-3</v>
      </c>
      <c r="W334" s="122">
        <v>4.305425874053325E-4</v>
      </c>
      <c r="X334" s="122">
        <v>1.7869725535414797E-4</v>
      </c>
      <c r="Y334" s="122">
        <v>7.4748051717039628E-3</v>
      </c>
      <c r="Z334" s="122">
        <v>7.7897397488055839E-3</v>
      </c>
      <c r="AA334" s="122">
        <v>4.3614428281072912E-4</v>
      </c>
      <c r="AB334" s="122">
        <v>1.6612755816924542E-6</v>
      </c>
      <c r="AC334" s="122">
        <v>1.8624363822413965E-2</v>
      </c>
      <c r="BC334" s="122" t="s">
        <v>361</v>
      </c>
      <c r="BD334" s="122">
        <v>6.7111667881585542E-3</v>
      </c>
      <c r="BE334" s="122">
        <v>-1.3676032524712327E-3</v>
      </c>
      <c r="BF334" s="122">
        <v>1.552776665375814E-3</v>
      </c>
      <c r="BG334" s="122">
        <v>-3.8819416634395349E-4</v>
      </c>
      <c r="BH334" s="122">
        <v>2.6666666666666665E-2</v>
      </c>
      <c r="BI334" s="122">
        <v>7.619047619047619E-3</v>
      </c>
      <c r="BJ334" s="122">
        <v>4.4000000000000003E-3</v>
      </c>
      <c r="BK334" s="122">
        <v>6.47288861884585E-3</v>
      </c>
      <c r="BL334" s="122">
        <v>3.7080287032533417E-2</v>
      </c>
      <c r="BM334" s="122">
        <v>0</v>
      </c>
      <c r="BN334" s="122">
        <v>6.3738697451547754E-3</v>
      </c>
      <c r="BO334" s="122">
        <v>9.5120905716967519E-2</v>
      </c>
      <c r="BP334" s="122">
        <f t="shared" si="7"/>
        <v>9.6876703135782699E-2</v>
      </c>
    </row>
    <row r="335" spans="1:68" x14ac:dyDescent="0.35">
      <c r="A335" s="122">
        <v>2050</v>
      </c>
      <c r="B335" s="122" t="s">
        <v>374</v>
      </c>
      <c r="C335" s="122">
        <v>1.0347449498978036E-3</v>
      </c>
      <c r="D335" s="122">
        <v>-5.2575506979843073E-5</v>
      </c>
      <c r="E335" s="122">
        <v>6.8982996659853576E-5</v>
      </c>
      <c r="F335" s="122">
        <v>-6.8982996659853564E-6</v>
      </c>
      <c r="G335" s="122">
        <v>1.0654632223259673E-3</v>
      </c>
      <c r="H335" s="122">
        <v>4.305425874053325E-4</v>
      </c>
      <c r="I335" s="122">
        <v>8.9502842587904882E-5</v>
      </c>
      <c r="J335" s="122">
        <v>1.6880924837231871E-3</v>
      </c>
      <c r="K335" s="122">
        <v>3.9106894766809553E-3</v>
      </c>
      <c r="L335" s="122">
        <v>0</v>
      </c>
      <c r="M335" s="122">
        <v>3.9785632626608411E-3</v>
      </c>
      <c r="N335" s="122">
        <v>1.2207108015296016E-2</v>
      </c>
      <c r="BC335" s="122" t="s">
        <v>363</v>
      </c>
      <c r="BD335" s="122">
        <v>1.3602217096595365E-2</v>
      </c>
      <c r="BE335" s="122">
        <v>-2.721219397624406E-3</v>
      </c>
      <c r="BF335" s="122">
        <v>1.552776665375814E-3</v>
      </c>
      <c r="BG335" s="122">
        <v>-3.8819416634395349E-4</v>
      </c>
      <c r="BH335" s="122">
        <v>2.6666666666666665E-2</v>
      </c>
      <c r="BI335" s="122">
        <v>7.7224822441822839E-3</v>
      </c>
      <c r="BJ335" s="122">
        <v>4.4000000000000003E-3</v>
      </c>
      <c r="BK335" s="122">
        <v>1.3466646239242928E-2</v>
      </c>
      <c r="BL335" s="122">
        <v>4.1314798101655878E-2</v>
      </c>
      <c r="BM335" s="122">
        <v>2.5044671072660674E-3</v>
      </c>
      <c r="BN335" s="122">
        <v>4.5605399770604809E-4</v>
      </c>
      <c r="BO335" s="122">
        <v>0.10857669455472269</v>
      </c>
      <c r="BP335" s="122">
        <f t="shared" si="7"/>
        <v>0.11168610811869105</v>
      </c>
    </row>
    <row r="336" spans="1:68" x14ac:dyDescent="0.35">
      <c r="B336" s="122" t="s">
        <v>336</v>
      </c>
      <c r="C336" s="122">
        <v>1.0902430594344164E-3</v>
      </c>
      <c r="D336" s="122">
        <v>-1.6353645891516245E-4</v>
      </c>
      <c r="E336" s="122">
        <v>7.6311881817276459E-4</v>
      </c>
      <c r="F336" s="122">
        <v>-3.8155940908638231E-5</v>
      </c>
      <c r="G336" s="122">
        <v>1.6256502601040416E-3</v>
      </c>
      <c r="H336" s="122">
        <v>1.6256502601040416E-3</v>
      </c>
      <c r="I336" s="122">
        <v>1.7507002801120447E-3</v>
      </c>
      <c r="J336" s="122">
        <v>1.2466950298238237E-3</v>
      </c>
      <c r="K336" s="122">
        <v>4.4869721657444586E-3</v>
      </c>
      <c r="L336" s="122">
        <v>0</v>
      </c>
      <c r="M336" s="122">
        <v>1.6221602331949914E-7</v>
      </c>
      <c r="N336" s="122">
        <v>1.238749968969511E-2</v>
      </c>
      <c r="BB336" s="122">
        <v>2050</v>
      </c>
      <c r="BC336" s="122" t="s">
        <v>362</v>
      </c>
      <c r="BD336" s="122">
        <v>8.9023613155393838E-3</v>
      </c>
      <c r="BE336" s="122">
        <v>-2.2244856106439686E-3</v>
      </c>
      <c r="BF336" s="122">
        <v>1.552776665375814E-3</v>
      </c>
      <c r="BG336" s="122">
        <v>-3.8819416634395349E-4</v>
      </c>
      <c r="BH336" s="122">
        <v>2.6666666666666665E-2</v>
      </c>
      <c r="BI336" s="122">
        <v>5.7142857142857143E-3</v>
      </c>
      <c r="BJ336" s="122">
        <v>4.4000000000000003E-3</v>
      </c>
      <c r="BK336" s="122">
        <v>4.06392166231242E-3</v>
      </c>
      <c r="BL336" s="122">
        <v>3.1184090487547715E-2</v>
      </c>
      <c r="BM336" s="122">
        <v>2.6094903670234107E-3</v>
      </c>
      <c r="BN336" s="122">
        <v>6.9881416122631238E-7</v>
      </c>
      <c r="BO336" s="122">
        <v>8.248161191592443E-2</v>
      </c>
      <c r="BP336" s="122">
        <f t="shared" si="7"/>
        <v>8.5094291692912355E-2</v>
      </c>
    </row>
    <row r="337" spans="2:68" x14ac:dyDescent="0.35">
      <c r="B337" s="122" t="s">
        <v>338</v>
      </c>
      <c r="C337" s="122">
        <v>8.7510622887057403E-4</v>
      </c>
      <c r="D337" s="122">
        <v>-1.3078063744341263E-4</v>
      </c>
      <c r="E337" s="122">
        <v>7.6311881817276459E-4</v>
      </c>
      <c r="F337" s="122">
        <v>-3.8155940908638231E-5</v>
      </c>
      <c r="G337" s="122">
        <v>1.6256502601040416E-3</v>
      </c>
      <c r="H337" s="122">
        <v>1.4052359304229719E-3</v>
      </c>
      <c r="I337" s="122">
        <v>1.7507002801120447E-3</v>
      </c>
      <c r="J337" s="122">
        <v>2.1857187249993688E-3</v>
      </c>
      <c r="K337" s="122">
        <v>4.7887289868741266E-3</v>
      </c>
      <c r="L337" s="122">
        <v>1.5478719957572919E-4</v>
      </c>
      <c r="M337" s="122">
        <v>3.9043051812366417E-7</v>
      </c>
      <c r="N337" s="122">
        <v>1.3380500281297694E-2</v>
      </c>
      <c r="BC337" s="122" t="s">
        <v>363</v>
      </c>
      <c r="BD337" s="122">
        <v>9.5184690021196325E-3</v>
      </c>
      <c r="BE337" s="122">
        <v>-2.3780107811737857E-3</v>
      </c>
      <c r="BF337" s="122">
        <v>1.552776665375814E-3</v>
      </c>
      <c r="BG337" s="122">
        <v>-3.8819416634395349E-4</v>
      </c>
      <c r="BH337" s="122">
        <v>2.6666666666666665E-2</v>
      </c>
      <c r="BI337" s="122">
        <v>6.8591891840075045E-3</v>
      </c>
      <c r="BJ337" s="122">
        <v>4.4000000000000003E-3</v>
      </c>
      <c r="BK337" s="122">
        <v>8.478341840292853E-3</v>
      </c>
      <c r="BL337" s="122">
        <v>3.4981211051024294E-2</v>
      </c>
      <c r="BM337" s="122">
        <v>1.136254567975066E-3</v>
      </c>
      <c r="BN337" s="122">
        <v>1.8114752335067749E-6</v>
      </c>
      <c r="BO337" s="122">
        <v>9.0828515505177593E-2</v>
      </c>
      <c r="BP337" s="122">
        <f t="shared" si="7"/>
        <v>9.3594720452695346E-2</v>
      </c>
    </row>
    <row r="338" spans="2:68" x14ac:dyDescent="0.35">
      <c r="B338" s="122" t="s">
        <v>337</v>
      </c>
      <c r="C338" s="122">
        <v>1.364623687619921E-3</v>
      </c>
      <c r="D338" s="122">
        <v>-2.0420825625581466E-4</v>
      </c>
      <c r="E338" s="122">
        <v>7.6311881817276459E-4</v>
      </c>
      <c r="F338" s="122">
        <v>-3.8155940908638231E-5</v>
      </c>
      <c r="G338" s="122">
        <v>1.6256502601040416E-3</v>
      </c>
      <c r="H338" s="122">
        <v>2.0347764046985059E-3</v>
      </c>
      <c r="I338" s="122">
        <v>1.7507002801120447E-3</v>
      </c>
      <c r="J338" s="122">
        <v>1.3246134691878124E-3</v>
      </c>
      <c r="K338" s="122">
        <v>4.8924016644783883E-3</v>
      </c>
      <c r="L338" s="122">
        <v>1.5849660754525298E-4</v>
      </c>
      <c r="M338" s="122">
        <v>1.7235452477696371E-7</v>
      </c>
      <c r="N338" s="122">
        <v>1.3672189349279055E-2</v>
      </c>
      <c r="BC338" s="122" t="s">
        <v>361</v>
      </c>
      <c r="BD338" s="122">
        <v>7.0535426020101408E-3</v>
      </c>
      <c r="BE338" s="122">
        <v>-1.0594650200048046E-3</v>
      </c>
      <c r="BF338" s="122">
        <v>1.552776665375814E-3</v>
      </c>
      <c r="BG338" s="122">
        <v>-3.8819416634395349E-4</v>
      </c>
      <c r="BH338" s="122">
        <v>2.6666666666666665E-2</v>
      </c>
      <c r="BI338" s="122">
        <v>7.619047619047619E-3</v>
      </c>
      <c r="BJ338" s="122">
        <v>4.4000000000000003E-3</v>
      </c>
      <c r="BK338" s="122">
        <v>5.689282609377155E-3</v>
      </c>
      <c r="BL338" s="122">
        <v>3.657800982034775E-2</v>
      </c>
      <c r="BM338" s="122">
        <v>0</v>
      </c>
      <c r="BN338" s="122">
        <v>5.7102461303557804E-3</v>
      </c>
      <c r="BO338" s="122">
        <v>9.3821912926832174E-2</v>
      </c>
      <c r="BP338" s="122">
        <f t="shared" si="7"/>
        <v>9.5269572113180934E-2</v>
      </c>
    </row>
    <row r="339" spans="2:68" x14ac:dyDescent="0.35">
      <c r="B339" s="122" t="s">
        <v>332</v>
      </c>
      <c r="C339" s="122">
        <v>1.3569040676564852E-3</v>
      </c>
      <c r="D339" s="122">
        <v>-1.3401388779574273E-4</v>
      </c>
      <c r="E339" s="122">
        <v>6.8982996659853576E-5</v>
      </c>
      <c r="F339" s="122">
        <v>-6.8982996659853564E-6</v>
      </c>
      <c r="G339" s="122">
        <v>1.0654632223259673E-3</v>
      </c>
      <c r="H339" s="122">
        <v>2.9878618113912231E-4</v>
      </c>
      <c r="I339" s="122">
        <v>8.6011184229469056E-5</v>
      </c>
      <c r="J339" s="122">
        <v>6.5156977611726787E-3</v>
      </c>
      <c r="K339" s="122">
        <v>4.3604771279751077E-3</v>
      </c>
      <c r="L339" s="122">
        <v>8.0928908914551512E-4</v>
      </c>
      <c r="M339" s="122">
        <v>1.2840718932885571E-6</v>
      </c>
      <c r="N339" s="122">
        <v>1.442198351473576E-2</v>
      </c>
      <c r="R339" s="122" t="s">
        <v>18</v>
      </c>
      <c r="S339" s="122" t="s">
        <v>28</v>
      </c>
      <c r="T339" s="122" t="s">
        <v>14</v>
      </c>
      <c r="U339" s="122" t="s">
        <v>25</v>
      </c>
      <c r="V339" s="122" t="s">
        <v>37</v>
      </c>
      <c r="W339" s="122" t="s">
        <v>52</v>
      </c>
      <c r="X339" s="122" t="s">
        <v>260</v>
      </c>
      <c r="Y339" s="122" t="s">
        <v>67</v>
      </c>
      <c r="Z339" s="122" t="s">
        <v>56</v>
      </c>
      <c r="AA339" s="122" t="s">
        <v>73</v>
      </c>
      <c r="AB339" s="122" t="s">
        <v>204</v>
      </c>
      <c r="AC339" s="122" t="s">
        <v>506</v>
      </c>
    </row>
    <row r="340" spans="2:68" x14ac:dyDescent="0.35">
      <c r="B340" s="122" t="s">
        <v>323</v>
      </c>
      <c r="C340" s="122">
        <v>1.3569040676564852E-3</v>
      </c>
      <c r="D340" s="122">
        <v>-1.3401388779574273E-4</v>
      </c>
      <c r="E340" s="122">
        <v>6.8982996659853576E-5</v>
      </c>
      <c r="F340" s="122">
        <v>-6.8982996659853564E-6</v>
      </c>
      <c r="G340" s="122">
        <v>1.0654632223259673E-3</v>
      </c>
      <c r="H340" s="122">
        <v>2.9878618113912231E-4</v>
      </c>
      <c r="I340" s="122">
        <v>8.9502842587904882E-5</v>
      </c>
      <c r="J340" s="122">
        <v>6.5156977611726787E-3</v>
      </c>
      <c r="K340" s="122">
        <v>4.3621202613202542E-3</v>
      </c>
      <c r="L340" s="122">
        <v>8.0959404886648406E-4</v>
      </c>
      <c r="M340" s="122">
        <v>1.2840718932885571E-6</v>
      </c>
      <c r="N340" s="122">
        <v>1.4427423266160311E-2</v>
      </c>
      <c r="P340" s="122">
        <v>2023</v>
      </c>
      <c r="Q340" s="122" t="s">
        <v>375</v>
      </c>
      <c r="R340" s="122">
        <v>1.0347449498978036E-3</v>
      </c>
      <c r="S340" s="122">
        <v>-1.0336086682377807E-4</v>
      </c>
      <c r="T340" s="122">
        <v>3.4491498329926784E-4</v>
      </c>
      <c r="U340" s="122">
        <v>-3.4491498329926788E-5</v>
      </c>
      <c r="V340" s="122">
        <v>1.0654632223259673E-3</v>
      </c>
      <c r="W340" s="122">
        <v>4.305425874053325E-4</v>
      </c>
      <c r="X340" s="122">
        <v>1.7869725535414797E-4</v>
      </c>
      <c r="Y340" s="122">
        <v>1.7783083301043669E-3</v>
      </c>
      <c r="Z340" s="122">
        <v>4.906601167950787E-3</v>
      </c>
      <c r="AA340" s="122">
        <v>0</v>
      </c>
      <c r="AB340" s="122">
        <v>1.829443359540834E-3</v>
      </c>
      <c r="AC340" s="122">
        <v>1.1430863490724804E-2</v>
      </c>
    </row>
    <row r="341" spans="2:68" x14ac:dyDescent="0.35">
      <c r="B341" s="122" t="s">
        <v>333</v>
      </c>
      <c r="C341" s="122">
        <v>1.2551060916366106E-3</v>
      </c>
      <c r="D341" s="122">
        <v>-1.2383409019375524E-4</v>
      </c>
      <c r="E341" s="122">
        <v>6.8982996659853576E-5</v>
      </c>
      <c r="F341" s="122">
        <v>-6.8982996659853564E-6</v>
      </c>
      <c r="G341" s="122">
        <v>1.0654632223259673E-3</v>
      </c>
      <c r="H341" s="122">
        <v>2.9878618113912231E-4</v>
      </c>
      <c r="I341" s="122">
        <v>8.6011184229469056E-5</v>
      </c>
      <c r="J341" s="122">
        <v>6.8423242323661987E-3</v>
      </c>
      <c r="K341" s="122">
        <v>4.4710808863119966E-3</v>
      </c>
      <c r="L341" s="122">
        <v>7.1691271025696099E-4</v>
      </c>
      <c r="M341" s="122">
        <v>1.3087655835441336E-6</v>
      </c>
      <c r="N341" s="122">
        <v>1.4675243880649983E-2</v>
      </c>
      <c r="Q341" s="122" t="s">
        <v>371</v>
      </c>
      <c r="R341" s="122">
        <v>1.0347449498978036E-3</v>
      </c>
      <c r="S341" s="122">
        <v>-1.0336086682377807E-4</v>
      </c>
      <c r="T341" s="122">
        <v>3.4491498329926784E-4</v>
      </c>
      <c r="U341" s="122">
        <v>-3.4491498329926788E-5</v>
      </c>
      <c r="V341" s="122">
        <v>1.0654632223259673E-3</v>
      </c>
      <c r="W341" s="122">
        <v>4.305425874053325E-4</v>
      </c>
      <c r="X341" s="122">
        <v>1.7869725535414797E-4</v>
      </c>
      <c r="Y341" s="122">
        <v>3.9670353002494918E-3</v>
      </c>
      <c r="Z341" s="122">
        <v>6.4659426820013136E-3</v>
      </c>
      <c r="AA341" s="122">
        <v>0</v>
      </c>
      <c r="AB341" s="122">
        <v>1.7360815489011045E-3</v>
      </c>
      <c r="AC341" s="122">
        <v>1.5085570164280724E-2</v>
      </c>
    </row>
    <row r="342" spans="2:68" x14ac:dyDescent="0.35">
      <c r="B342" s="122" t="s">
        <v>324</v>
      </c>
      <c r="C342" s="122">
        <v>1.2551060916366106E-3</v>
      </c>
      <c r="D342" s="122">
        <v>-1.2383409019375524E-4</v>
      </c>
      <c r="E342" s="122">
        <v>6.8982996659853576E-5</v>
      </c>
      <c r="F342" s="122">
        <v>-6.8982996659853564E-6</v>
      </c>
      <c r="G342" s="122">
        <v>1.0654632223259673E-3</v>
      </c>
      <c r="H342" s="122">
        <v>2.9878618113912231E-4</v>
      </c>
      <c r="I342" s="122">
        <v>8.9502842587904882E-5</v>
      </c>
      <c r="J342" s="122">
        <v>6.8423242323661987E-3</v>
      </c>
      <c r="K342" s="122">
        <v>4.4727240196571413E-3</v>
      </c>
      <c r="L342" s="122">
        <v>7.1717617746091741E-4</v>
      </c>
      <c r="M342" s="122">
        <v>1.3087655835441336E-6</v>
      </c>
      <c r="N342" s="122">
        <v>1.4680642139557521E-2</v>
      </c>
      <c r="Q342" s="122" t="s">
        <v>343</v>
      </c>
      <c r="R342" s="122">
        <v>7.6317014160409149E-4</v>
      </c>
      <c r="S342" s="122">
        <v>-1.1346797345547289E-4</v>
      </c>
      <c r="T342" s="122">
        <v>5.087458787818432E-4</v>
      </c>
      <c r="U342" s="122">
        <v>-2.5437293939092156E-5</v>
      </c>
      <c r="V342" s="122">
        <v>1.525610244097639E-3</v>
      </c>
      <c r="W342" s="122">
        <v>2.6260504201680674E-3</v>
      </c>
      <c r="X342" s="122">
        <v>1.6256502601040416E-3</v>
      </c>
      <c r="Y342" s="122">
        <v>1.9863208475390157E-3</v>
      </c>
      <c r="Z342" s="122">
        <v>1.3192239137747501E-2</v>
      </c>
      <c r="AA342" s="122">
        <v>0</v>
      </c>
      <c r="AB342" s="122">
        <v>8.6996317577796474E-4</v>
      </c>
      <c r="AC342" s="122">
        <v>2.2958844838425599E-2</v>
      </c>
    </row>
    <row r="343" spans="2:68" x14ac:dyDescent="0.35">
      <c r="B343" s="122" t="s">
        <v>373</v>
      </c>
      <c r="C343" s="122">
        <v>1.0347449498978036E-3</v>
      </c>
      <c r="D343" s="122">
        <v>-5.2575506979843073E-5</v>
      </c>
      <c r="E343" s="122">
        <v>6.8982996659853576E-5</v>
      </c>
      <c r="F343" s="122">
        <v>-6.8982996659853564E-6</v>
      </c>
      <c r="G343" s="122">
        <v>1.0654632223259673E-3</v>
      </c>
      <c r="H343" s="122">
        <v>4.305425874053325E-4</v>
      </c>
      <c r="I343" s="122">
        <v>8.6011184229469056E-5</v>
      </c>
      <c r="J343" s="122">
        <v>3.7657825471821881E-3</v>
      </c>
      <c r="K343" s="122">
        <v>4.7912357170974904E-3</v>
      </c>
      <c r="L343" s="122">
        <v>0</v>
      </c>
      <c r="M343" s="122">
        <v>3.7755256184454147E-3</v>
      </c>
      <c r="N343" s="122">
        <v>1.4958815016597691E-2</v>
      </c>
      <c r="Q343" s="122" t="s">
        <v>361</v>
      </c>
      <c r="R343" s="122">
        <v>6.4495368251871292E-3</v>
      </c>
      <c r="S343" s="122">
        <v>-1.6030702191455165E-3</v>
      </c>
      <c r="T343" s="122">
        <v>1.552776665375814E-3</v>
      </c>
      <c r="U343" s="122">
        <v>-3.8819416634395349E-4</v>
      </c>
      <c r="V343" s="122">
        <v>2.6666666666666665E-2</v>
      </c>
      <c r="W343" s="122">
        <v>7.619047619047619E-3</v>
      </c>
      <c r="X343" s="122">
        <v>4.4000000000000003E-3</v>
      </c>
      <c r="Y343" s="122">
        <v>6.7070446072256132E-3</v>
      </c>
      <c r="Z343" s="122">
        <v>3.4748133323923014E-2</v>
      </c>
      <c r="AA343" s="122">
        <v>0</v>
      </c>
      <c r="AB343" s="122">
        <v>2.9375323900042061E-3</v>
      </c>
      <c r="AC343" s="122">
        <v>8.9089473711940592E-2</v>
      </c>
    </row>
    <row r="344" spans="2:68" x14ac:dyDescent="0.35">
      <c r="B344" s="122" t="s">
        <v>370</v>
      </c>
      <c r="C344" s="122">
        <v>1.0347449498978036E-3</v>
      </c>
      <c r="D344" s="122">
        <v>-5.2575506979843073E-5</v>
      </c>
      <c r="E344" s="122">
        <v>6.8982996659853576E-5</v>
      </c>
      <c r="F344" s="122">
        <v>-6.8982996659853564E-6</v>
      </c>
      <c r="G344" s="122">
        <v>1.0654632223259673E-3</v>
      </c>
      <c r="H344" s="122">
        <v>4.305425874053325E-4</v>
      </c>
      <c r="I344" s="122">
        <v>8.9502842587904882E-5</v>
      </c>
      <c r="J344" s="122">
        <v>3.7657825471821881E-3</v>
      </c>
      <c r="K344" s="122">
        <v>4.7928788504426369E-3</v>
      </c>
      <c r="L344" s="122">
        <v>0</v>
      </c>
      <c r="M344" s="122">
        <v>3.7755256184454147E-3</v>
      </c>
      <c r="N344" s="122">
        <v>1.4963949808301274E-2</v>
      </c>
    </row>
    <row r="345" spans="2:68" x14ac:dyDescent="0.35">
      <c r="B345" s="122" t="s">
        <v>375</v>
      </c>
      <c r="C345" s="122">
        <v>1.0347449498978036E-3</v>
      </c>
      <c r="D345" s="122">
        <v>-5.2575506979843073E-5</v>
      </c>
      <c r="E345" s="122">
        <v>3.4491498329926784E-4</v>
      </c>
      <c r="F345" s="122">
        <v>-3.4491498329926788E-5</v>
      </c>
      <c r="G345" s="122">
        <v>1.0654632223259673E-3</v>
      </c>
      <c r="H345" s="122">
        <v>4.305425874053325E-4</v>
      </c>
      <c r="I345" s="122">
        <v>1.7869725535414797E-4</v>
      </c>
      <c r="J345" s="122">
        <v>1.6880924837231871E-3</v>
      </c>
      <c r="K345" s="122">
        <v>6.4766025942449342E-3</v>
      </c>
      <c r="L345" s="122">
        <v>0</v>
      </c>
      <c r="M345" s="122">
        <v>3.9785632626608411E-3</v>
      </c>
      <c r="N345" s="122">
        <v>1.511055433360171E-2</v>
      </c>
    </row>
    <row r="346" spans="2:68" x14ac:dyDescent="0.35">
      <c r="B346" s="122" t="s">
        <v>376</v>
      </c>
      <c r="C346" s="122">
        <v>1.0347449498978036E-3</v>
      </c>
      <c r="D346" s="122">
        <v>-5.2575506979843073E-5</v>
      </c>
      <c r="E346" s="122">
        <v>6.8982996659853576E-5</v>
      </c>
      <c r="F346" s="122">
        <v>-6.8982996659853564E-6</v>
      </c>
      <c r="G346" s="122">
        <v>1.0654632223259673E-3</v>
      </c>
      <c r="H346" s="122">
        <v>4.305425874053325E-4</v>
      </c>
      <c r="I346" s="122">
        <v>8.6011184229469056E-5</v>
      </c>
      <c r="J346" s="122">
        <v>1.6880924837231871E-3</v>
      </c>
      <c r="K346" s="122">
        <v>7.6677447503894734E-3</v>
      </c>
      <c r="L346" s="122">
        <v>0</v>
      </c>
      <c r="M346" s="122">
        <v>3.9785632626608411E-3</v>
      </c>
      <c r="N346" s="122">
        <v>1.5960671630646101E-2</v>
      </c>
    </row>
    <row r="347" spans="2:68" x14ac:dyDescent="0.35">
      <c r="B347" s="122" t="s">
        <v>348</v>
      </c>
      <c r="C347" s="122">
        <v>1.0902430594344164E-3</v>
      </c>
      <c r="D347" s="122">
        <v>-1.6353645891516245E-4</v>
      </c>
      <c r="E347" s="122">
        <v>7.6311881817276459E-4</v>
      </c>
      <c r="F347" s="122">
        <v>-3.8155940908638231E-5</v>
      </c>
      <c r="G347" s="122">
        <v>3.6264505802320927E-3</v>
      </c>
      <c r="H347" s="122">
        <v>1.6256502601040416E-3</v>
      </c>
      <c r="I347" s="122">
        <v>4.0016006402561026E-3</v>
      </c>
      <c r="J347" s="122">
        <v>1.2466950298238237E-3</v>
      </c>
      <c r="K347" s="122">
        <v>4.7555433667933449E-3</v>
      </c>
      <c r="L347" s="122">
        <v>0</v>
      </c>
      <c r="M347" s="122">
        <v>1.6221602331949914E-7</v>
      </c>
      <c r="N347" s="122">
        <v>1.6907771571016104E-2</v>
      </c>
    </row>
    <row r="348" spans="2:68" x14ac:dyDescent="0.35">
      <c r="B348" s="122" t="s">
        <v>344</v>
      </c>
      <c r="C348" s="122">
        <v>1.0902430594344164E-3</v>
      </c>
      <c r="D348" s="122">
        <v>-1.6353645891516245E-4</v>
      </c>
      <c r="E348" s="122">
        <v>5.087458787818432E-4</v>
      </c>
      <c r="F348" s="122">
        <v>-2.5437293939092156E-5</v>
      </c>
      <c r="G348" s="122">
        <v>1.525610244097639E-3</v>
      </c>
      <c r="H348" s="122">
        <v>1.6256502601040416E-3</v>
      </c>
      <c r="I348" s="122">
        <v>1.6256502601040416E-3</v>
      </c>
      <c r="J348" s="122">
        <v>1.2466950298238237E-3</v>
      </c>
      <c r="K348" s="122">
        <v>1.0057508896434416E-2</v>
      </c>
      <c r="L348" s="122">
        <v>0</v>
      </c>
      <c r="M348" s="122">
        <v>1.6221602331949914E-7</v>
      </c>
      <c r="N348" s="122">
        <v>1.7491292091949287E-2</v>
      </c>
    </row>
    <row r="349" spans="2:68" x14ac:dyDescent="0.35">
      <c r="B349" s="122" t="s">
        <v>326</v>
      </c>
      <c r="C349" s="122">
        <v>1.3569040676564852E-3</v>
      </c>
      <c r="D349" s="122">
        <v>-1.3401388779574273E-4</v>
      </c>
      <c r="E349" s="122">
        <v>3.4491498329926784E-4</v>
      </c>
      <c r="F349" s="122">
        <v>-3.4491498329926788E-5</v>
      </c>
      <c r="G349" s="122">
        <v>1.0654632223259673E-3</v>
      </c>
      <c r="H349" s="122">
        <v>2.9878618113912231E-4</v>
      </c>
      <c r="I349" s="122">
        <v>1.7869725535414797E-4</v>
      </c>
      <c r="J349" s="122">
        <v>6.5156977611726787E-3</v>
      </c>
      <c r="K349" s="122">
        <v>7.1904931373954553E-3</v>
      </c>
      <c r="L349" s="122">
        <v>8.438939851007736E-4</v>
      </c>
      <c r="M349" s="122">
        <v>1.2840718932885571E-6</v>
      </c>
      <c r="N349" s="122">
        <v>1.7627629279211517E-2</v>
      </c>
      <c r="P349" s="122" t="s">
        <v>480</v>
      </c>
      <c r="AF349" s="122" t="s">
        <v>480</v>
      </c>
    </row>
    <row r="350" spans="2:68" x14ac:dyDescent="0.35">
      <c r="B350" s="122" t="s">
        <v>350</v>
      </c>
      <c r="C350" s="122">
        <v>8.7510622887057403E-4</v>
      </c>
      <c r="D350" s="122">
        <v>-1.3078063744341263E-4</v>
      </c>
      <c r="E350" s="122">
        <v>7.6311881817276459E-4</v>
      </c>
      <c r="F350" s="122">
        <v>-3.8155940908638231E-5</v>
      </c>
      <c r="G350" s="122">
        <v>3.6264505802320927E-3</v>
      </c>
      <c r="H350" s="122">
        <v>1.4052359304229719E-3</v>
      </c>
      <c r="I350" s="122">
        <v>4.0016006402561026E-3</v>
      </c>
      <c r="J350" s="122">
        <v>2.1857187249993688E-3</v>
      </c>
      <c r="K350" s="122">
        <v>4.9641653665866946E-3</v>
      </c>
      <c r="L350" s="122">
        <v>2.3209084830794896E-4</v>
      </c>
      <c r="M350" s="122">
        <v>3.9043051812366417E-7</v>
      </c>
      <c r="N350" s="122">
        <v>1.7884940990014593E-2</v>
      </c>
    </row>
    <row r="351" spans="2:68" x14ac:dyDescent="0.35">
      <c r="B351" s="122" t="s">
        <v>327</v>
      </c>
      <c r="C351" s="122">
        <v>1.2551060916366106E-3</v>
      </c>
      <c r="D351" s="122">
        <v>-1.2383409019375524E-4</v>
      </c>
      <c r="E351" s="122">
        <v>3.4491498329926784E-4</v>
      </c>
      <c r="F351" s="122">
        <v>-3.4491498329926788E-5</v>
      </c>
      <c r="G351" s="122">
        <v>1.0654632223259673E-3</v>
      </c>
      <c r="H351" s="122">
        <v>2.9878618113912231E-4</v>
      </c>
      <c r="I351" s="122">
        <v>1.7869725535414797E-4</v>
      </c>
      <c r="J351" s="122">
        <v>6.8423242323661987E-3</v>
      </c>
      <c r="K351" s="122">
        <v>7.3654014063933224E-3</v>
      </c>
      <c r="L351" s="122">
        <v>7.4680929840831821E-4</v>
      </c>
      <c r="M351" s="122">
        <v>1.3087655835441336E-6</v>
      </c>
      <c r="N351" s="122">
        <v>1.7940485847982818E-2</v>
      </c>
      <c r="R351" s="122" t="s">
        <v>18</v>
      </c>
      <c r="S351" s="122" t="s">
        <v>28</v>
      </c>
      <c r="T351" s="122" t="s">
        <v>14</v>
      </c>
      <c r="U351" s="122" t="s">
        <v>25</v>
      </c>
      <c r="V351" s="122" t="s">
        <v>37</v>
      </c>
      <c r="W351" s="122" t="s">
        <v>52</v>
      </c>
      <c r="X351" s="122" t="s">
        <v>260</v>
      </c>
      <c r="Y351" s="122" t="s">
        <v>67</v>
      </c>
      <c r="Z351" s="122" t="s">
        <v>56</v>
      </c>
      <c r="AA351" s="122" t="s">
        <v>73</v>
      </c>
      <c r="AB351" s="122" t="s">
        <v>204</v>
      </c>
      <c r="AC351" s="122" t="s">
        <v>506</v>
      </c>
      <c r="AH351" s="122" t="s">
        <v>18</v>
      </c>
      <c r="AI351" s="122" t="s">
        <v>28</v>
      </c>
      <c r="AJ351" s="122" t="s">
        <v>528</v>
      </c>
      <c r="AK351" s="122" t="s">
        <v>25</v>
      </c>
      <c r="AL351" s="122" t="s">
        <v>529</v>
      </c>
      <c r="AM351" s="122" t="s">
        <v>52</v>
      </c>
      <c r="AN351" s="122" t="s">
        <v>530</v>
      </c>
      <c r="AO351" s="122" t="s">
        <v>67</v>
      </c>
      <c r="AP351" s="122" t="s">
        <v>531</v>
      </c>
      <c r="AQ351" s="122" t="s">
        <v>73</v>
      </c>
      <c r="AR351" s="122" t="s">
        <v>204</v>
      </c>
      <c r="AS351" s="122" t="s">
        <v>504</v>
      </c>
      <c r="AT351" s="122" t="s">
        <v>505</v>
      </c>
      <c r="BD351" s="122" t="s">
        <v>18</v>
      </c>
      <c r="BE351" s="122" t="s">
        <v>28</v>
      </c>
      <c r="BF351" s="122" t="s">
        <v>14</v>
      </c>
      <c r="BG351" s="122" t="s">
        <v>25</v>
      </c>
      <c r="BH351" s="122" t="s">
        <v>37</v>
      </c>
      <c r="BI351" s="122" t="s">
        <v>52</v>
      </c>
      <c r="BJ351" s="122" t="s">
        <v>260</v>
      </c>
      <c r="BK351" s="122" t="s">
        <v>67</v>
      </c>
      <c r="BL351" s="122" t="s">
        <v>56</v>
      </c>
      <c r="BM351" s="122" t="s">
        <v>73</v>
      </c>
      <c r="BN351" s="122" t="s">
        <v>204</v>
      </c>
      <c r="BO351" s="122" t="s">
        <v>506</v>
      </c>
    </row>
    <row r="352" spans="2:68" x14ac:dyDescent="0.35">
      <c r="B352" s="122" t="s">
        <v>335</v>
      </c>
      <c r="C352" s="122">
        <v>7.6317014160409149E-4</v>
      </c>
      <c r="D352" s="122">
        <v>-3.832836099071531E-5</v>
      </c>
      <c r="E352" s="122">
        <v>7.6311881817276459E-4</v>
      </c>
      <c r="F352" s="122">
        <v>-3.8155940908638231E-5</v>
      </c>
      <c r="G352" s="122">
        <v>1.6256502601040416E-3</v>
      </c>
      <c r="H352" s="122">
        <v>2.6260504201680674E-3</v>
      </c>
      <c r="I352" s="122">
        <v>1.7507002801120447E-3</v>
      </c>
      <c r="J352" s="122">
        <v>2.0303525904647574E-3</v>
      </c>
      <c r="K352" s="122">
        <v>6.5231460001078049E-3</v>
      </c>
      <c r="L352" s="122">
        <v>0</v>
      </c>
      <c r="M352" s="122">
        <v>2.0378339096479639E-3</v>
      </c>
      <c r="N352" s="122">
        <v>1.804353811848218E-2</v>
      </c>
      <c r="P352" s="122">
        <v>2023</v>
      </c>
      <c r="Q352" s="122" t="s">
        <v>375</v>
      </c>
      <c r="R352" s="122">
        <v>1.0347449498978036E-3</v>
      </c>
      <c r="S352" s="122">
        <v>-1.0336086682377807E-4</v>
      </c>
      <c r="T352" s="122">
        <v>3.4491498329926784E-4</v>
      </c>
      <c r="U352" s="122">
        <v>-3.4491498329926788E-5</v>
      </c>
      <c r="V352" s="122">
        <v>1.0654632223259673E-3</v>
      </c>
      <c r="W352" s="122">
        <v>4.305425874053325E-4</v>
      </c>
      <c r="X352" s="122">
        <v>1.7869725535414797E-4</v>
      </c>
      <c r="Y352" s="122">
        <v>1.9885516794763114E-3</v>
      </c>
      <c r="Z352" s="122">
        <v>5.0630613349252557E-3</v>
      </c>
      <c r="AA352" s="122">
        <v>0</v>
      </c>
      <c r="AB352" s="122">
        <v>1.829443359540834E-3</v>
      </c>
      <c r="AC352" s="122">
        <v>1.1797567007071217E-2</v>
      </c>
      <c r="AF352" s="122">
        <v>2023</v>
      </c>
      <c r="AG352" s="122" t="s">
        <v>375</v>
      </c>
      <c r="AH352" s="122">
        <v>1.0347449498978036E-3</v>
      </c>
      <c r="AI352" s="122">
        <v>-1.0336086682377807E-4</v>
      </c>
      <c r="AJ352" s="122">
        <v>3.4491498329926784E-4</v>
      </c>
      <c r="AK352" s="122">
        <v>-3.4491498329926788E-5</v>
      </c>
      <c r="AL352" s="122">
        <v>1.0654632223259673E-3</v>
      </c>
      <c r="AM352" s="122">
        <v>4.305425874053325E-4</v>
      </c>
      <c r="AN352" s="122">
        <v>1.7869725535414797E-4</v>
      </c>
      <c r="AO352" s="122">
        <v>1.9885516794763114E-3</v>
      </c>
      <c r="AP352" s="122">
        <v>5.0630613349252557E-3</v>
      </c>
      <c r="AQ352" s="122">
        <v>0</v>
      </c>
      <c r="AR352" s="122">
        <v>1.829443359540834E-3</v>
      </c>
      <c r="AS352" s="122">
        <f>AC352-AC320</f>
        <v>3.6670351634641302E-4</v>
      </c>
      <c r="AT352" s="122">
        <f t="shared" ref="AT352:AT366" si="8">AC386-AC352</f>
        <v>1.2605433374408143E-4</v>
      </c>
      <c r="BB352" s="122">
        <v>2023</v>
      </c>
      <c r="BC352" s="122" t="s">
        <v>375</v>
      </c>
      <c r="BD352" s="122">
        <v>1.0347449498978036E-3</v>
      </c>
      <c r="BE352" s="122">
        <v>-1.0336086682377807E-4</v>
      </c>
      <c r="BF352" s="122">
        <v>3.4491498329926784E-4</v>
      </c>
      <c r="BG352" s="122">
        <v>-3.4491498329926788E-5</v>
      </c>
      <c r="BH352" s="122">
        <v>1.0654632223259673E-3</v>
      </c>
      <c r="BI352" s="122">
        <v>4.305425874053325E-4</v>
      </c>
      <c r="BJ352" s="122">
        <v>1.7869725535414797E-4</v>
      </c>
      <c r="BK352" s="122">
        <v>2.0608228308229173E-3</v>
      </c>
      <c r="BL352" s="122">
        <v>5.1168445173227313E-3</v>
      </c>
      <c r="BM352" s="122">
        <v>0</v>
      </c>
      <c r="BN352" s="122">
        <v>1.829443359540834E-3</v>
      </c>
      <c r="BO352" s="122">
        <v>1.1923621340815298E-2</v>
      </c>
    </row>
    <row r="353" spans="2:67" x14ac:dyDescent="0.35">
      <c r="B353" s="122" t="s">
        <v>349</v>
      </c>
      <c r="C353" s="122">
        <v>1.364623687619921E-3</v>
      </c>
      <c r="D353" s="122">
        <v>-2.0420825625581466E-4</v>
      </c>
      <c r="E353" s="122">
        <v>7.6311881817276459E-4</v>
      </c>
      <c r="F353" s="122">
        <v>-3.8155940908638231E-5</v>
      </c>
      <c r="G353" s="122">
        <v>3.6264505802320927E-3</v>
      </c>
      <c r="H353" s="122">
        <v>2.0347764046985059E-3</v>
      </c>
      <c r="I353" s="122">
        <v>4.0016006402561026E-3</v>
      </c>
      <c r="J353" s="122">
        <v>1.3246134691878124E-3</v>
      </c>
      <c r="K353" s="122">
        <v>5.0358403041896437E-3</v>
      </c>
      <c r="L353" s="122">
        <v>2.3597544134485934E-4</v>
      </c>
      <c r="M353" s="122">
        <v>1.7235452477696371E-7</v>
      </c>
      <c r="N353" s="122">
        <v>1.8144807503062025E-2</v>
      </c>
      <c r="Q353" s="122" t="s">
        <v>371</v>
      </c>
      <c r="R353" s="122">
        <v>1.0347449498978036E-3</v>
      </c>
      <c r="S353" s="122">
        <v>-1.0336086682377807E-4</v>
      </c>
      <c r="T353" s="122">
        <v>3.4491498329926784E-4</v>
      </c>
      <c r="U353" s="122">
        <v>-3.4491498329926788E-5</v>
      </c>
      <c r="V353" s="122">
        <v>1.0654632223259673E-3</v>
      </c>
      <c r="W353" s="122">
        <v>4.305425874053325E-4</v>
      </c>
      <c r="X353" s="122">
        <v>1.7869725535414797E-4</v>
      </c>
      <c r="Y353" s="122">
        <v>4.4360443997863777E-3</v>
      </c>
      <c r="Z353" s="122">
        <v>6.8149727095636499E-3</v>
      </c>
      <c r="AA353" s="122">
        <v>0</v>
      </c>
      <c r="AB353" s="122">
        <v>1.7360815489011045E-3</v>
      </c>
      <c r="AC353" s="122">
        <v>1.5903609291379947E-2</v>
      </c>
      <c r="AG353" s="122" t="s">
        <v>371</v>
      </c>
      <c r="AH353" s="122">
        <v>1.0347449498978036E-3</v>
      </c>
      <c r="AI353" s="122">
        <v>-1.0336086682377807E-4</v>
      </c>
      <c r="AJ353" s="122">
        <v>3.4491498329926784E-4</v>
      </c>
      <c r="AK353" s="122">
        <v>-3.4491498329926788E-5</v>
      </c>
      <c r="AL353" s="122">
        <v>1.0654632223259673E-3</v>
      </c>
      <c r="AM353" s="122">
        <v>4.305425874053325E-4</v>
      </c>
      <c r="AN353" s="122">
        <v>1.7869725535414797E-4</v>
      </c>
      <c r="AO353" s="122">
        <v>4.4360443997863777E-3</v>
      </c>
      <c r="AP353" s="122">
        <v>6.8149727095636499E-3</v>
      </c>
      <c r="AQ353" s="122">
        <v>0</v>
      </c>
      <c r="AR353" s="122">
        <v>1.7360815489011045E-3</v>
      </c>
      <c r="AS353" s="122">
        <f t="shared" ref="AS353:AS366" si="9">AC353-AC321</f>
        <v>8.1803912709922308E-4</v>
      </c>
      <c r="AT353" s="122">
        <f t="shared" si="8"/>
        <v>2.8120094994035089E-4</v>
      </c>
      <c r="BC353" s="122" t="s">
        <v>371</v>
      </c>
      <c r="BD353" s="122">
        <v>1.0347449498978036E-3</v>
      </c>
      <c r="BE353" s="122">
        <v>-1.0336086682377807E-4</v>
      </c>
      <c r="BF353" s="122">
        <v>3.4491498329926784E-4</v>
      </c>
      <c r="BG353" s="122">
        <v>-3.4491498329926788E-5</v>
      </c>
      <c r="BH353" s="122">
        <v>1.0654632223259673E-3</v>
      </c>
      <c r="BI353" s="122">
        <v>4.305425874053325E-4</v>
      </c>
      <c r="BJ353" s="122">
        <v>1.7869725535414797E-4</v>
      </c>
      <c r="BK353" s="122">
        <v>4.5972662777521807E-3</v>
      </c>
      <c r="BL353" s="122">
        <v>6.934951781538197E-3</v>
      </c>
      <c r="BM353" s="122">
        <v>0</v>
      </c>
      <c r="BN353" s="122">
        <v>1.7360815489011045E-3</v>
      </c>
      <c r="BO353" s="122">
        <v>1.6184810241320298E-2</v>
      </c>
    </row>
    <row r="354" spans="2:67" x14ac:dyDescent="0.35">
      <c r="B354" s="122" t="s">
        <v>352</v>
      </c>
      <c r="C354" s="122">
        <v>8.7219444754753307E-4</v>
      </c>
      <c r="D354" s="122">
        <v>-1.3082916713212997E-4</v>
      </c>
      <c r="E354" s="122">
        <v>5.0874587878184309E-4</v>
      </c>
      <c r="F354" s="122">
        <v>-2.5437293939092159E-5</v>
      </c>
      <c r="G354" s="122">
        <v>1.3005202080832333E-3</v>
      </c>
      <c r="H354" s="122">
        <v>1.3005202080832333E-3</v>
      </c>
      <c r="I354" s="122">
        <v>1.4005602240896359E-3</v>
      </c>
      <c r="J354" s="122">
        <v>9.9735602385905885E-4</v>
      </c>
      <c r="K354" s="122">
        <v>1.2108084514432254E-2</v>
      </c>
      <c r="L354" s="122">
        <v>0</v>
      </c>
      <c r="M354" s="122">
        <v>1.2977281865559933E-7</v>
      </c>
      <c r="N354" s="122">
        <v>1.8331844816624223E-2</v>
      </c>
      <c r="Q354" s="122" t="s">
        <v>327</v>
      </c>
      <c r="R354" s="122">
        <v>2.0676718491395704E-3</v>
      </c>
      <c r="S354" s="122">
        <v>-1.0351994625618128E-4</v>
      </c>
      <c r="T354" s="122">
        <v>3.4491498329926784E-4</v>
      </c>
      <c r="U354" s="122">
        <v>-3.4491498329926788E-5</v>
      </c>
      <c r="V354" s="122">
        <v>1.0654632223259673E-3</v>
      </c>
      <c r="W354" s="122">
        <v>2.9878618113912231E-4</v>
      </c>
      <c r="X354" s="122">
        <v>1.7869725535414797E-4</v>
      </c>
      <c r="Y354" s="122">
        <v>9.8428104466493447E-3</v>
      </c>
      <c r="Z354" s="122">
        <v>1.0401517712268922E-2</v>
      </c>
      <c r="AA354" s="122">
        <v>1.2150320625057571E-3</v>
      </c>
      <c r="AB354" s="122">
        <v>2.4772393588019895E-4</v>
      </c>
      <c r="AC354" s="122">
        <v>2.5524606203976188E-2</v>
      </c>
      <c r="AG354" s="122" t="s">
        <v>327</v>
      </c>
      <c r="AH354" s="122">
        <v>2.0676718491395704E-3</v>
      </c>
      <c r="AI354" s="122">
        <v>-1.0351994625618128E-4</v>
      </c>
      <c r="AJ354" s="122">
        <v>3.4491498329926784E-4</v>
      </c>
      <c r="AK354" s="122">
        <v>-3.4491498329926788E-5</v>
      </c>
      <c r="AL354" s="122">
        <v>1.0654632223259673E-3</v>
      </c>
      <c r="AM354" s="122">
        <v>2.9878618113912231E-4</v>
      </c>
      <c r="AN354" s="122">
        <v>1.7869725535414797E-4</v>
      </c>
      <c r="AO354" s="122">
        <v>9.8428104466493447E-3</v>
      </c>
      <c r="AP354" s="122">
        <v>1.0401517712268922E-2</v>
      </c>
      <c r="AQ354" s="122">
        <v>1.2150320625057571E-3</v>
      </c>
      <c r="AR354" s="122">
        <v>2.4772393588019895E-4</v>
      </c>
      <c r="AS354" s="122">
        <f t="shared" si="9"/>
        <v>1.1534577189326878E-3</v>
      </c>
      <c r="AT354" s="122">
        <f t="shared" si="8"/>
        <v>2.6336173351353305E-3</v>
      </c>
      <c r="BC354" s="122" t="s">
        <v>343</v>
      </c>
      <c r="BD354" s="122">
        <v>7.6317014160409149E-4</v>
      </c>
      <c r="BE354" s="122">
        <v>-1.1346797345547289E-4</v>
      </c>
      <c r="BF354" s="122">
        <v>5.087458787818432E-4</v>
      </c>
      <c r="BG354" s="122">
        <v>-2.5437293939092156E-5</v>
      </c>
      <c r="BH354" s="122">
        <v>1.525610244097639E-3</v>
      </c>
      <c r="BI354" s="122">
        <v>2.6260504201680674E-3</v>
      </c>
      <c r="BJ354" s="122">
        <v>1.6256502601040416E-3</v>
      </c>
      <c r="BK354" s="122">
        <v>2.3018816718401642E-3</v>
      </c>
      <c r="BL354" s="122">
        <v>1.361627399540217E-2</v>
      </c>
      <c r="BM354" s="122">
        <v>0</v>
      </c>
      <c r="BN354" s="122">
        <v>8.6996317577796474E-4</v>
      </c>
      <c r="BO354" s="122">
        <v>2.3698440520381413E-2</v>
      </c>
    </row>
    <row r="355" spans="2:67" x14ac:dyDescent="0.35">
      <c r="B355" s="122" t="s">
        <v>371</v>
      </c>
      <c r="C355" s="122">
        <v>1.0347449498978036E-3</v>
      </c>
      <c r="D355" s="122">
        <v>-5.2575506979843073E-5</v>
      </c>
      <c r="E355" s="122">
        <v>3.4491498329926784E-4</v>
      </c>
      <c r="F355" s="122">
        <v>-3.4491498329926788E-5</v>
      </c>
      <c r="G355" s="122">
        <v>1.0654632223259673E-3</v>
      </c>
      <c r="H355" s="122">
        <v>4.305425874053325E-4</v>
      </c>
      <c r="I355" s="122">
        <v>1.7869725535414797E-4</v>
      </c>
      <c r="J355" s="122">
        <v>3.7657825471821881E-3</v>
      </c>
      <c r="K355" s="122">
        <v>7.8716927667052683E-3</v>
      </c>
      <c r="L355" s="122">
        <v>0</v>
      </c>
      <c r="M355" s="122">
        <v>3.7755256184454147E-3</v>
      </c>
      <c r="N355" s="122">
        <v>1.8380296925305621E-2</v>
      </c>
      <c r="Q355" s="122" t="s">
        <v>326</v>
      </c>
      <c r="R355" s="122">
        <v>2.0678991054715748E-3</v>
      </c>
      <c r="S355" s="122">
        <v>-1.0354267188938173E-4</v>
      </c>
      <c r="T355" s="122">
        <v>3.4491498329926784E-4</v>
      </c>
      <c r="U355" s="122">
        <v>-3.4491498329926788E-5</v>
      </c>
      <c r="V355" s="122">
        <v>1.0654632223259673E-3</v>
      </c>
      <c r="W355" s="122">
        <v>2.9878618113912231E-4</v>
      </c>
      <c r="X355" s="122">
        <v>1.7869725535414797E-4</v>
      </c>
      <c r="Y355" s="122">
        <v>1.0998500789181229E-2</v>
      </c>
      <c r="Z355" s="122">
        <v>1.1258240195397959E-2</v>
      </c>
      <c r="AA355" s="122">
        <v>1.6800974640097614E-3</v>
      </c>
      <c r="AB355" s="122">
        <v>2.4304989935415751E-4</v>
      </c>
      <c r="AC355" s="122">
        <v>2.7997614925313878E-2</v>
      </c>
      <c r="AG355" s="122" t="s">
        <v>326</v>
      </c>
      <c r="AH355" s="122">
        <v>2.0678991054715748E-3</v>
      </c>
      <c r="AI355" s="122">
        <v>-1.0354267188938173E-4</v>
      </c>
      <c r="AJ355" s="122">
        <v>3.4491498329926784E-4</v>
      </c>
      <c r="AK355" s="122">
        <v>-3.4491498329926788E-5</v>
      </c>
      <c r="AL355" s="122">
        <v>1.0654632223259673E-3</v>
      </c>
      <c r="AM355" s="122">
        <v>2.9878618113912231E-4</v>
      </c>
      <c r="AN355" s="122">
        <v>1.7869725535414797E-4</v>
      </c>
      <c r="AO355" s="122">
        <v>1.0998500789181229E-2</v>
      </c>
      <c r="AP355" s="122">
        <v>1.1258240195397959E-2</v>
      </c>
      <c r="AQ355" s="122">
        <v>1.6800974640097614E-3</v>
      </c>
      <c r="AR355" s="122">
        <v>2.4304989935415751E-4</v>
      </c>
      <c r="AS355" s="122">
        <f t="shared" si="9"/>
        <v>1.0354925956486058E-3</v>
      </c>
      <c r="AT355" s="122">
        <f t="shared" si="8"/>
        <v>2.364275001625428E-3</v>
      </c>
      <c r="BC355" s="122" t="s">
        <v>361</v>
      </c>
      <c r="BD355" s="122">
        <v>6.4495368251871292E-3</v>
      </c>
      <c r="BE355" s="122">
        <v>-1.6030702191455165E-3</v>
      </c>
      <c r="BF355" s="122">
        <v>1.552776665375814E-3</v>
      </c>
      <c r="BG355" s="122">
        <v>-3.8819416634395349E-4</v>
      </c>
      <c r="BH355" s="122">
        <v>2.6666666666666665E-2</v>
      </c>
      <c r="BI355" s="122">
        <v>7.619047619047619E-3</v>
      </c>
      <c r="BJ355" s="122">
        <v>4.4000000000000003E-3</v>
      </c>
      <c r="BK355" s="122">
        <v>7.7725726298020935E-3</v>
      </c>
      <c r="BL355" s="122">
        <v>3.5419879251199486E-2</v>
      </c>
      <c r="BM355" s="122">
        <v>0</v>
      </c>
      <c r="BN355" s="122">
        <v>2.9375323900042061E-3</v>
      </c>
      <c r="BO355" s="122">
        <v>9.0826747661793536E-2</v>
      </c>
    </row>
    <row r="356" spans="2:67" x14ac:dyDescent="0.35">
      <c r="B356" s="122" t="s">
        <v>329</v>
      </c>
      <c r="C356" s="122">
        <v>1.3569040676564852E-3</v>
      </c>
      <c r="D356" s="122">
        <v>-1.3401388779574273E-4</v>
      </c>
      <c r="E356" s="122">
        <v>6.8982996659853576E-5</v>
      </c>
      <c r="F356" s="122">
        <v>-6.8982996659853564E-6</v>
      </c>
      <c r="G356" s="122">
        <v>1.0654632223259673E-3</v>
      </c>
      <c r="H356" s="122">
        <v>2.9878618113912231E-4</v>
      </c>
      <c r="I356" s="122">
        <v>8.6011184229469056E-5</v>
      </c>
      <c r="J356" s="122">
        <v>6.5156977611726787E-3</v>
      </c>
      <c r="K356" s="122">
        <v>8.5532435971819448E-3</v>
      </c>
      <c r="L356" s="122">
        <v>8.0928908914551512E-4</v>
      </c>
      <c r="M356" s="122">
        <v>1.2840718932885571E-6</v>
      </c>
      <c r="N356" s="122">
        <v>1.8614749983942594E-2</v>
      </c>
      <c r="Q356" s="122" t="s">
        <v>328</v>
      </c>
      <c r="R356" s="122">
        <v>1.3444866658711308E-3</v>
      </c>
      <c r="S356" s="122">
        <v>-6.7337961459558828E-5</v>
      </c>
      <c r="T356" s="122">
        <v>3.4491498329926784E-4</v>
      </c>
      <c r="U356" s="122">
        <v>-3.4491498329926788E-5</v>
      </c>
      <c r="V356" s="122">
        <v>1.0654632223259673E-3</v>
      </c>
      <c r="W356" s="122">
        <v>4.305425874053325E-4</v>
      </c>
      <c r="X356" s="122">
        <v>1.7869725535414797E-4</v>
      </c>
      <c r="Y356" s="122">
        <v>2.3179426482003523E-2</v>
      </c>
      <c r="Z356" s="122">
        <v>1.9962888910307775E-2</v>
      </c>
      <c r="AA356" s="122">
        <v>1.1177138322177524E-3</v>
      </c>
      <c r="AB356" s="122">
        <v>3.1444724009633705E-4</v>
      </c>
      <c r="AC356" s="122">
        <v>4.7836751719091741E-2</v>
      </c>
      <c r="AG356" s="122" t="s">
        <v>328</v>
      </c>
      <c r="AH356" s="122">
        <v>1.3444866658711308E-3</v>
      </c>
      <c r="AI356" s="122">
        <v>-6.7337961459558828E-5</v>
      </c>
      <c r="AJ356" s="122">
        <v>3.4491498329926784E-4</v>
      </c>
      <c r="AK356" s="122">
        <v>-3.4491498329926788E-5</v>
      </c>
      <c r="AL356" s="122">
        <v>1.0654632223259673E-3</v>
      </c>
      <c r="AM356" s="122">
        <v>4.305425874053325E-4</v>
      </c>
      <c r="AN356" s="122">
        <v>1.7869725535414797E-4</v>
      </c>
      <c r="AO356" s="122">
        <v>2.3179426482003523E-2</v>
      </c>
      <c r="AP356" s="122">
        <v>1.9962888910307775E-2</v>
      </c>
      <c r="AQ356" s="122">
        <v>1.1177138322177524E-3</v>
      </c>
      <c r="AR356" s="122">
        <v>3.1444724009633705E-4</v>
      </c>
      <c r="AS356" s="122">
        <f t="shared" si="9"/>
        <v>1.3687840226099257E-3</v>
      </c>
      <c r="AT356" s="122">
        <f t="shared" si="8"/>
        <v>3.1252583175197732E-3</v>
      </c>
    </row>
    <row r="357" spans="2:67" x14ac:dyDescent="0.35">
      <c r="B357" s="122" t="s">
        <v>334</v>
      </c>
      <c r="C357" s="122">
        <v>1.0397745068075209E-3</v>
      </c>
      <c r="D357" s="122">
        <v>-1.0288771335031333E-4</v>
      </c>
      <c r="E357" s="122">
        <v>6.8982996659853576E-5</v>
      </c>
      <c r="F357" s="122">
        <v>-6.8982996659853564E-6</v>
      </c>
      <c r="G357" s="122">
        <v>1.0654632223259673E-3</v>
      </c>
      <c r="H357" s="122">
        <v>4.305425874053325E-4</v>
      </c>
      <c r="I357" s="122">
        <v>8.6011184229469056E-5</v>
      </c>
      <c r="J357" s="122">
        <v>9.7494494830798577E-3</v>
      </c>
      <c r="K357" s="122">
        <v>5.809833337602521E-3</v>
      </c>
      <c r="L357" s="122">
        <v>5.1441232676689014E-4</v>
      </c>
      <c r="M357" s="122">
        <v>1.6612755816924542E-6</v>
      </c>
      <c r="N357" s="122">
        <v>1.8656344907442807E-2</v>
      </c>
      <c r="P357" s="122">
        <v>2034</v>
      </c>
      <c r="Q357" s="122" t="s">
        <v>375</v>
      </c>
      <c r="R357" s="122">
        <v>1.0347449498978036E-3</v>
      </c>
      <c r="S357" s="122">
        <v>-9.7956440009122124E-5</v>
      </c>
      <c r="T357" s="122">
        <v>3.4491498329926784E-4</v>
      </c>
      <c r="U357" s="122">
        <v>-3.4491498329926788E-5</v>
      </c>
      <c r="V357" s="122">
        <v>1.0654632223259673E-3</v>
      </c>
      <c r="W357" s="122">
        <v>4.305425874053325E-4</v>
      </c>
      <c r="X357" s="122">
        <v>1.7869725535414797E-4</v>
      </c>
      <c r="Y357" s="122">
        <v>1.5474706053674888E-3</v>
      </c>
      <c r="Z357" s="122">
        <v>6.4675979815810372E-3</v>
      </c>
      <c r="AA357" s="122">
        <v>0</v>
      </c>
      <c r="AB357" s="122">
        <v>4.1524661257787056E-3</v>
      </c>
      <c r="AC357" s="122">
        <v>1.5089449772670701E-2</v>
      </c>
      <c r="AF357" s="122">
        <v>2034</v>
      </c>
      <c r="AG357" s="122" t="s">
        <v>375</v>
      </c>
      <c r="AH357" s="122">
        <v>1.0347449498978036E-3</v>
      </c>
      <c r="AI357" s="122">
        <v>-9.7956440009122124E-5</v>
      </c>
      <c r="AJ357" s="122">
        <v>3.4491498329926784E-4</v>
      </c>
      <c r="AK357" s="122">
        <v>-3.4491498329926788E-5</v>
      </c>
      <c r="AL357" s="122">
        <v>1.0654632223259673E-3</v>
      </c>
      <c r="AM357" s="122">
        <v>4.305425874053325E-4</v>
      </c>
      <c r="AN357" s="122">
        <v>1.7869725535414797E-4</v>
      </c>
      <c r="AO357" s="122">
        <v>1.5474706053674888E-3</v>
      </c>
      <c r="AP357" s="122">
        <v>6.4675979815810372E-3</v>
      </c>
      <c r="AQ357" s="122">
        <v>0</v>
      </c>
      <c r="AR357" s="122">
        <v>4.1524661257787056E-3</v>
      </c>
      <c r="AS357" s="122">
        <f t="shared" si="9"/>
        <v>1.2358131794236709E-3</v>
      </c>
      <c r="AT357" s="122">
        <f t="shared" si="8"/>
        <v>5.0797228847476207E-4</v>
      </c>
    </row>
    <row r="358" spans="2:67" x14ac:dyDescent="0.35">
      <c r="B358" s="122" t="s">
        <v>325</v>
      </c>
      <c r="C358" s="122">
        <v>1.0397745068075209E-3</v>
      </c>
      <c r="D358" s="122">
        <v>-1.0288771335031333E-4</v>
      </c>
      <c r="E358" s="122">
        <v>6.8982996659853576E-5</v>
      </c>
      <c r="F358" s="122">
        <v>-6.8982996659853564E-6</v>
      </c>
      <c r="G358" s="122">
        <v>1.0654632223259673E-3</v>
      </c>
      <c r="H358" s="122">
        <v>4.305425874053325E-4</v>
      </c>
      <c r="I358" s="122">
        <v>8.9502842587904882E-5</v>
      </c>
      <c r="J358" s="122">
        <v>9.7494494830798577E-3</v>
      </c>
      <c r="K358" s="122">
        <v>5.8114764709476692E-3</v>
      </c>
      <c r="L358" s="122">
        <v>5.1455781253182363E-4</v>
      </c>
      <c r="M358" s="122">
        <v>1.6612755816924542E-6</v>
      </c>
      <c r="N358" s="122">
        <v>1.8661625184911327E-2</v>
      </c>
      <c r="Q358" s="122" t="s">
        <v>371</v>
      </c>
      <c r="R358" s="122">
        <v>1.0347449498978036E-3</v>
      </c>
      <c r="S358" s="122">
        <v>-9.7956440009122124E-5</v>
      </c>
      <c r="T358" s="122">
        <v>3.4491498329926784E-4</v>
      </c>
      <c r="U358" s="122">
        <v>-3.4491498329926788E-5</v>
      </c>
      <c r="V358" s="122">
        <v>1.0654632223259673E-3</v>
      </c>
      <c r="W358" s="122">
        <v>4.305425874053325E-4</v>
      </c>
      <c r="X358" s="122">
        <v>1.7869725535414797E-4</v>
      </c>
      <c r="Y358" s="122">
        <v>3.4520844409647441E-3</v>
      </c>
      <c r="Z358" s="122">
        <v>7.7272827614503804E-3</v>
      </c>
      <c r="AA358" s="122">
        <v>0</v>
      </c>
      <c r="AB358" s="122">
        <v>3.9405537131308793E-3</v>
      </c>
      <c r="AC358" s="122">
        <v>1.8041835975489473E-2</v>
      </c>
      <c r="AG358" s="122" t="s">
        <v>371</v>
      </c>
      <c r="AH358" s="122">
        <v>1.0347449498978036E-3</v>
      </c>
      <c r="AI358" s="122">
        <v>-9.7956440009122124E-5</v>
      </c>
      <c r="AJ358" s="122">
        <v>3.4491498329926784E-4</v>
      </c>
      <c r="AK358" s="122">
        <v>-3.4491498329926788E-5</v>
      </c>
      <c r="AL358" s="122">
        <v>1.0654632223259673E-3</v>
      </c>
      <c r="AM358" s="122">
        <v>4.305425874053325E-4</v>
      </c>
      <c r="AN358" s="122">
        <v>1.7869725535414797E-4</v>
      </c>
      <c r="AO358" s="122">
        <v>3.4520844409647441E-3</v>
      </c>
      <c r="AP358" s="122">
        <v>7.7272827614503804E-3</v>
      </c>
      <c r="AQ358" s="122">
        <v>0</v>
      </c>
      <c r="AR358" s="122">
        <v>3.9405537131308793E-3</v>
      </c>
      <c r="AS358" s="122">
        <f t="shared" si="9"/>
        <v>2.7568416704203021E-3</v>
      </c>
      <c r="AT358" s="122">
        <f t="shared" si="8"/>
        <v>1.1331803185163219E-3</v>
      </c>
    </row>
    <row r="359" spans="2:67" x14ac:dyDescent="0.35">
      <c r="B359" s="122" t="s">
        <v>340</v>
      </c>
      <c r="C359" s="122">
        <v>1.0902430594344164E-3</v>
      </c>
      <c r="D359" s="122">
        <v>-1.6353645891516245E-4</v>
      </c>
      <c r="E359" s="122">
        <v>1.0174917575636864E-3</v>
      </c>
      <c r="F359" s="122">
        <v>-5.0874587878184312E-5</v>
      </c>
      <c r="G359" s="122">
        <v>1.5506202480992397E-3</v>
      </c>
      <c r="H359" s="122">
        <v>1.6256502601040416E-3</v>
      </c>
      <c r="I359" s="122">
        <v>1.6256502601040416E-3</v>
      </c>
      <c r="J359" s="122">
        <v>1.2466950298238237E-3</v>
      </c>
      <c r="K359" s="122">
        <v>1.0808924727655326E-2</v>
      </c>
      <c r="L359" s="122">
        <v>0</v>
      </c>
      <c r="M359" s="122">
        <v>1.6221602331949914E-7</v>
      </c>
      <c r="N359" s="122">
        <v>1.8751026512014549E-2</v>
      </c>
      <c r="Q359" s="122" t="s">
        <v>327</v>
      </c>
      <c r="R359" s="122">
        <v>1.9812010201050753E-3</v>
      </c>
      <c r="S359" s="122">
        <v>-1.0568171698204363E-4</v>
      </c>
      <c r="T359" s="122">
        <v>3.4491498329926784E-4</v>
      </c>
      <c r="U359" s="122">
        <v>-3.4491498329926788E-5</v>
      </c>
      <c r="V359" s="122">
        <v>1.0654632223259673E-3</v>
      </c>
      <c r="W359" s="122">
        <v>2.9878618113912231E-4</v>
      </c>
      <c r="X359" s="122">
        <v>1.7869725535414797E-4</v>
      </c>
      <c r="Y359" s="122">
        <v>8.9836445575697966E-3</v>
      </c>
      <c r="Z359" s="122">
        <v>9.7570304386082433E-3</v>
      </c>
      <c r="AA359" s="122">
        <v>1.1235856659284928E-3</v>
      </c>
      <c r="AB359" s="122">
        <v>3.29492650738565E-4</v>
      </c>
      <c r="AC359" s="122">
        <v>2.3922642759756706E-2</v>
      </c>
      <c r="AG359" s="122" t="s">
        <v>327</v>
      </c>
      <c r="AH359" s="122">
        <v>1.9812010201050753E-3</v>
      </c>
      <c r="AI359" s="122">
        <v>-1.0568171698204363E-4</v>
      </c>
      <c r="AJ359" s="122">
        <v>3.4491498329926784E-4</v>
      </c>
      <c r="AK359" s="122">
        <v>-3.4491498329926788E-5</v>
      </c>
      <c r="AL359" s="122">
        <v>1.0654632223259673E-3</v>
      </c>
      <c r="AM359" s="122">
        <v>2.9878618113912231E-4</v>
      </c>
      <c r="AN359" s="122">
        <v>1.7869725535414797E-4</v>
      </c>
      <c r="AO359" s="122">
        <v>8.9836445575697966E-3</v>
      </c>
      <c r="AP359" s="122">
        <v>9.7570304386082433E-3</v>
      </c>
      <c r="AQ359" s="122">
        <v>1.1235856659284928E-3</v>
      </c>
      <c r="AR359" s="122">
        <v>3.29492650738565E-4</v>
      </c>
      <c r="AS359" s="122">
        <f t="shared" si="9"/>
        <v>1.6299727808687381E-3</v>
      </c>
      <c r="AT359" s="122">
        <f t="shared" si="8"/>
        <v>2.3319111461645031E-3</v>
      </c>
    </row>
    <row r="360" spans="2:67" x14ac:dyDescent="0.35">
      <c r="B360" s="122" t="s">
        <v>346</v>
      </c>
      <c r="C360" s="122">
        <v>8.7510622887057403E-4</v>
      </c>
      <c r="D360" s="122">
        <v>-1.3078063744341263E-4</v>
      </c>
      <c r="E360" s="122">
        <v>5.087458787818432E-4</v>
      </c>
      <c r="F360" s="122">
        <v>-2.5437293939092156E-5</v>
      </c>
      <c r="G360" s="122">
        <v>1.525610244097639E-3</v>
      </c>
      <c r="H360" s="122">
        <v>1.4052359304229719E-3</v>
      </c>
      <c r="I360" s="122">
        <v>1.6256502601040416E-3</v>
      </c>
      <c r="J360" s="122">
        <v>2.1857187249993688E-3</v>
      </c>
      <c r="K360" s="122">
        <v>1.0778372413577514E-2</v>
      </c>
      <c r="L360" s="122">
        <v>1.4583844280527739E-4</v>
      </c>
      <c r="M360" s="122">
        <v>3.9043051812366417E-7</v>
      </c>
      <c r="N360" s="122">
        <v>1.8894450622794847E-2</v>
      </c>
      <c r="Q360" s="122" t="s">
        <v>326</v>
      </c>
      <c r="R360" s="122">
        <v>1.9922371300663917E-3</v>
      </c>
      <c r="S360" s="122">
        <v>-1.067853279781753E-4</v>
      </c>
      <c r="T360" s="122">
        <v>3.4491498329926784E-4</v>
      </c>
      <c r="U360" s="122">
        <v>-3.4491498329926788E-5</v>
      </c>
      <c r="V360" s="122">
        <v>1.0654632223259673E-3</v>
      </c>
      <c r="W360" s="122">
        <v>2.9878618113912231E-4</v>
      </c>
      <c r="X360" s="122">
        <v>1.7869725535414797E-4</v>
      </c>
      <c r="Y360" s="122">
        <v>9.2291415253648278E-3</v>
      </c>
      <c r="Z360" s="122">
        <v>9.9424909962219712E-3</v>
      </c>
      <c r="AA360" s="122">
        <v>1.4493686459020345E-3</v>
      </c>
      <c r="AB360" s="122">
        <v>3.2327580827179973E-4</v>
      </c>
      <c r="AC360" s="122">
        <v>2.4683098921637423E-2</v>
      </c>
      <c r="AG360" s="122" t="s">
        <v>326</v>
      </c>
      <c r="AH360" s="122">
        <v>1.9922371300663917E-3</v>
      </c>
      <c r="AI360" s="122">
        <v>-1.067853279781753E-4</v>
      </c>
      <c r="AJ360" s="122">
        <v>3.4491498329926784E-4</v>
      </c>
      <c r="AK360" s="122">
        <v>-3.4491498329926788E-5</v>
      </c>
      <c r="AL360" s="122">
        <v>1.0654632223259673E-3</v>
      </c>
      <c r="AM360" s="122">
        <v>2.9878618113912231E-4</v>
      </c>
      <c r="AN360" s="122">
        <v>1.7869725535414797E-4</v>
      </c>
      <c r="AO360" s="122">
        <v>9.2291415253648278E-3</v>
      </c>
      <c r="AP360" s="122">
        <v>9.9424909962219712E-3</v>
      </c>
      <c r="AQ360" s="122">
        <v>1.4493686459020345E-3</v>
      </c>
      <c r="AR360" s="122">
        <v>3.2327580827179973E-4</v>
      </c>
      <c r="AS360" s="122">
        <f t="shared" si="9"/>
        <v>1.4622290175335048E-3</v>
      </c>
      <c r="AT360" s="122">
        <f t="shared" si="8"/>
        <v>2.0919294998375665E-3</v>
      </c>
    </row>
    <row r="361" spans="2:67" x14ac:dyDescent="0.35">
      <c r="B361" s="122" t="s">
        <v>330</v>
      </c>
      <c r="C361" s="122">
        <v>1.2551060916366106E-3</v>
      </c>
      <c r="D361" s="122">
        <v>-1.2383409019375524E-4</v>
      </c>
      <c r="E361" s="122">
        <v>6.8982996659853576E-5</v>
      </c>
      <c r="F361" s="122">
        <v>-6.8982996659853564E-6</v>
      </c>
      <c r="G361" s="122">
        <v>1.0654632223259673E-3</v>
      </c>
      <c r="H361" s="122">
        <v>2.9878618113912231E-4</v>
      </c>
      <c r="I361" s="122">
        <v>8.6011184229469056E-5</v>
      </c>
      <c r="J361" s="122">
        <v>6.8423242323661987E-3</v>
      </c>
      <c r="K361" s="122">
        <v>8.7701971231504573E-3</v>
      </c>
      <c r="L361" s="122">
        <v>7.1691271025696099E-4</v>
      </c>
      <c r="M361" s="122">
        <v>1.3087655835441336E-6</v>
      </c>
      <c r="N361" s="122">
        <v>1.8974360117488442E-2</v>
      </c>
      <c r="Q361" s="122" t="s">
        <v>328</v>
      </c>
      <c r="R361" s="122">
        <v>1.3120601049831952E-3</v>
      </c>
      <c r="S361" s="122">
        <v>-7.1121060229817985E-5</v>
      </c>
      <c r="T361" s="122">
        <v>3.4491498329926784E-4</v>
      </c>
      <c r="U361" s="122">
        <v>-3.4491498329926788E-5</v>
      </c>
      <c r="V361" s="122">
        <v>1.0654632223259673E-3</v>
      </c>
      <c r="W361" s="122">
        <v>4.305425874053325E-4</v>
      </c>
      <c r="X361" s="122">
        <v>1.7869725535414797E-4</v>
      </c>
      <c r="Y361" s="122">
        <v>1.5009822198599115E-2</v>
      </c>
      <c r="Z361" s="122">
        <v>1.3933477784384415E-2</v>
      </c>
      <c r="AA361" s="122">
        <v>7.8012961553193885E-4</v>
      </c>
      <c r="AB361" s="122">
        <v>4.1823998269942579E-4</v>
      </c>
      <c r="AC361" s="122">
        <v>3.3367735176023053E-2</v>
      </c>
      <c r="AG361" s="122" t="s">
        <v>328</v>
      </c>
      <c r="AH361" s="122">
        <v>1.3120601049831952E-3</v>
      </c>
      <c r="AI361" s="122">
        <v>-7.1121060229817985E-5</v>
      </c>
      <c r="AJ361" s="122">
        <v>3.4491498329926784E-4</v>
      </c>
      <c r="AK361" s="122">
        <v>-3.4491498329926788E-5</v>
      </c>
      <c r="AL361" s="122">
        <v>1.0654632223259673E-3</v>
      </c>
      <c r="AM361" s="122">
        <v>4.305425874053325E-4</v>
      </c>
      <c r="AN361" s="122">
        <v>1.7869725535414797E-4</v>
      </c>
      <c r="AO361" s="122">
        <v>1.5009822198599115E-2</v>
      </c>
      <c r="AP361" s="122">
        <v>1.3933477784384415E-2</v>
      </c>
      <c r="AQ361" s="122">
        <v>7.8012961553193885E-4</v>
      </c>
      <c r="AR361" s="122">
        <v>4.1823998269942579E-4</v>
      </c>
      <c r="AS361" s="122">
        <f t="shared" si="9"/>
        <v>1.9450204077702121E-3</v>
      </c>
      <c r="AT361" s="122">
        <f t="shared" si="8"/>
        <v>2.7826322142505203E-3</v>
      </c>
    </row>
    <row r="362" spans="2:67" x14ac:dyDescent="0.35">
      <c r="B362" s="122" t="s">
        <v>345</v>
      </c>
      <c r="C362" s="122">
        <v>1.364623687619921E-3</v>
      </c>
      <c r="D362" s="122">
        <v>-2.0420825625581466E-4</v>
      </c>
      <c r="E362" s="122">
        <v>5.087458787818432E-4</v>
      </c>
      <c r="F362" s="122">
        <v>-2.5437293939092156E-5</v>
      </c>
      <c r="G362" s="122">
        <v>1.525610244097639E-3</v>
      </c>
      <c r="H362" s="122">
        <v>2.0347764046985059E-3</v>
      </c>
      <c r="I362" s="122">
        <v>1.6256502601040416E-3</v>
      </c>
      <c r="J362" s="122">
        <v>1.3246134691878124E-3</v>
      </c>
      <c r="K362" s="122">
        <v>1.1026034921187691E-2</v>
      </c>
      <c r="L362" s="122">
        <v>1.4952757115561412E-4</v>
      </c>
      <c r="M362" s="122">
        <v>1.7235452477696371E-7</v>
      </c>
      <c r="N362" s="122">
        <v>1.9330109241162935E-2</v>
      </c>
      <c r="P362" s="122">
        <v>2050</v>
      </c>
      <c r="Q362" s="122" t="s">
        <v>375</v>
      </c>
      <c r="R362" s="122">
        <v>1.0347449498978036E-3</v>
      </c>
      <c r="S362" s="122">
        <v>-5.2575506979843073E-5</v>
      </c>
      <c r="T362" s="122">
        <v>3.4491498329926784E-4</v>
      </c>
      <c r="U362" s="122">
        <v>-3.4491498329926788E-5</v>
      </c>
      <c r="V362" s="122">
        <v>1.0654632223259673E-3</v>
      </c>
      <c r="W362" s="122">
        <v>4.305425874053325E-4</v>
      </c>
      <c r="X362" s="122">
        <v>1.7869725535414797E-4</v>
      </c>
      <c r="Y362" s="122">
        <v>1.2203078195589308E-3</v>
      </c>
      <c r="Z362" s="122">
        <v>6.1284837744017689E-3</v>
      </c>
      <c r="AA362" s="122">
        <v>0</v>
      </c>
      <c r="AB362" s="122">
        <v>3.9785632626608411E-3</v>
      </c>
      <c r="AC362" s="122">
        <v>1.429465084959429E-2</v>
      </c>
      <c r="AF362" s="122">
        <v>2050</v>
      </c>
      <c r="AG362" s="122" t="s">
        <v>375</v>
      </c>
      <c r="AH362" s="122">
        <v>1.0347449498978036E-3</v>
      </c>
      <c r="AI362" s="122">
        <v>-5.2575506979843073E-5</v>
      </c>
      <c r="AJ362" s="122">
        <v>3.4491498329926784E-4</v>
      </c>
      <c r="AK362" s="122">
        <v>-3.4491498329926788E-5</v>
      </c>
      <c r="AL362" s="122">
        <v>1.0654632223259673E-3</v>
      </c>
      <c r="AM362" s="122">
        <v>4.305425874053325E-4</v>
      </c>
      <c r="AN362" s="122">
        <v>1.7869725535414797E-4</v>
      </c>
      <c r="AO362" s="122">
        <v>1.2203078195589308E-3</v>
      </c>
      <c r="AP362" s="122">
        <v>6.1284837744017689E-3</v>
      </c>
      <c r="AQ362" s="122">
        <v>0</v>
      </c>
      <c r="AR362" s="122">
        <v>3.9785632626608411E-3</v>
      </c>
      <c r="AS362" s="122">
        <f t="shared" si="9"/>
        <v>1.2415922582721707E-3</v>
      </c>
      <c r="AT362" s="122">
        <f t="shared" si="8"/>
        <v>8.1590348400742072E-4</v>
      </c>
    </row>
    <row r="363" spans="2:67" x14ac:dyDescent="0.35">
      <c r="B363" s="122" t="s">
        <v>372</v>
      </c>
      <c r="C363" s="122">
        <v>1.0347449498978036E-3</v>
      </c>
      <c r="D363" s="122">
        <v>-5.2575506979843073E-5</v>
      </c>
      <c r="E363" s="122">
        <v>6.8982996659853576E-5</v>
      </c>
      <c r="F363" s="122">
        <v>-6.8982996659853564E-6</v>
      </c>
      <c r="G363" s="122">
        <v>1.0654632223259673E-3</v>
      </c>
      <c r="H363" s="122">
        <v>4.305425874053325E-4</v>
      </c>
      <c r="I363" s="122">
        <v>8.6011184229469056E-5</v>
      </c>
      <c r="J363" s="122">
        <v>3.7657825471821881E-3</v>
      </c>
      <c r="K363" s="122">
        <v>9.3981931373835412E-3</v>
      </c>
      <c r="L363" s="122">
        <v>0</v>
      </c>
      <c r="M363" s="122">
        <v>3.7755256184454147E-3</v>
      </c>
      <c r="N363" s="122">
        <v>1.956577243688374E-2</v>
      </c>
      <c r="Q363" s="122" t="s">
        <v>326</v>
      </c>
      <c r="R363" s="122">
        <v>1.3569040676564852E-3</v>
      </c>
      <c r="S363" s="122">
        <v>-1.3401388779574273E-4</v>
      </c>
      <c r="T363" s="122">
        <v>3.4491498329926784E-4</v>
      </c>
      <c r="U363" s="122">
        <v>-3.4491498329926788E-5</v>
      </c>
      <c r="V363" s="122">
        <v>1.0654632223259673E-3</v>
      </c>
      <c r="W363" s="122">
        <v>2.9878618113912231E-4</v>
      </c>
      <c r="X363" s="122">
        <v>1.7869725535414797E-4</v>
      </c>
      <c r="Y363" s="122">
        <v>5.7533619435061857E-3</v>
      </c>
      <c r="Z363" s="122">
        <v>6.6231734591320202E-3</v>
      </c>
      <c r="AA363" s="122">
        <v>7.7731195032683734E-4</v>
      </c>
      <c r="AB363" s="122">
        <v>1.2840718932885571E-6</v>
      </c>
      <c r="AC363" s="122">
        <v>1.6231391748507649E-2</v>
      </c>
      <c r="AG363" s="122" t="s">
        <v>326</v>
      </c>
      <c r="AH363" s="122">
        <v>1.3569040676564852E-3</v>
      </c>
      <c r="AI363" s="122">
        <v>-1.3401388779574273E-4</v>
      </c>
      <c r="AJ363" s="122">
        <v>3.4491498329926784E-4</v>
      </c>
      <c r="AK363" s="122">
        <v>-3.4491498329926788E-5</v>
      </c>
      <c r="AL363" s="122">
        <v>1.0654632223259673E-3</v>
      </c>
      <c r="AM363" s="122">
        <v>2.9878618113912231E-4</v>
      </c>
      <c r="AN363" s="122">
        <v>1.7869725535414797E-4</v>
      </c>
      <c r="AO363" s="122">
        <v>5.7533619435061857E-3</v>
      </c>
      <c r="AP363" s="122">
        <v>6.6231734591320202E-3</v>
      </c>
      <c r="AQ363" s="122">
        <v>7.7731195032683734E-4</v>
      </c>
      <c r="AR363" s="122">
        <v>1.2840718932885571E-6</v>
      </c>
      <c r="AS363" s="122">
        <f t="shared" si="9"/>
        <v>2.4409390597507873E-3</v>
      </c>
      <c r="AT363" s="122">
        <f t="shared" si="8"/>
        <v>1.3962375307038678E-3</v>
      </c>
    </row>
    <row r="364" spans="2:67" x14ac:dyDescent="0.35">
      <c r="B364" s="122" t="s">
        <v>354</v>
      </c>
      <c r="C364" s="122">
        <v>7.0008498309645929E-4</v>
      </c>
      <c r="D364" s="122">
        <v>-1.046245099547301E-4</v>
      </c>
      <c r="E364" s="122">
        <v>5.0874587878184309E-4</v>
      </c>
      <c r="F364" s="122">
        <v>-2.5437293939092159E-5</v>
      </c>
      <c r="G364" s="122">
        <v>1.3005202080832333E-3</v>
      </c>
      <c r="H364" s="122">
        <v>1.1241887443383775E-3</v>
      </c>
      <c r="I364" s="122">
        <v>1.4005602240896359E-3</v>
      </c>
      <c r="J364" s="122">
        <v>1.7485749799994951E-3</v>
      </c>
      <c r="K364" s="122">
        <v>1.2936239345754785E-2</v>
      </c>
      <c r="L364" s="122">
        <v>9.7156523866491137E-5</v>
      </c>
      <c r="M364" s="122">
        <v>3.1234441449893134E-7</v>
      </c>
      <c r="N364" s="122">
        <v>1.9686321428530995E-2</v>
      </c>
      <c r="Q364" s="122" t="s">
        <v>327</v>
      </c>
      <c r="R364" s="122">
        <v>1.2551060916366106E-3</v>
      </c>
      <c r="S364" s="122">
        <v>-1.2383409019375524E-4</v>
      </c>
      <c r="T364" s="122">
        <v>3.4491498329926784E-4</v>
      </c>
      <c r="U364" s="122">
        <v>-3.4491498329926788E-5</v>
      </c>
      <c r="V364" s="122">
        <v>1.0654632223259673E-3</v>
      </c>
      <c r="W364" s="122">
        <v>2.9878618113912231E-4</v>
      </c>
      <c r="X364" s="122">
        <v>1.7869725535414797E-4</v>
      </c>
      <c r="Y364" s="122">
        <v>5.981953183602064E-3</v>
      </c>
      <c r="Z364" s="122">
        <v>6.7251252770804803E-3</v>
      </c>
      <c r="AA364" s="122">
        <v>6.8188898510337589E-4</v>
      </c>
      <c r="AB364" s="122">
        <v>1.3087655835441336E-6</v>
      </c>
      <c r="AC364" s="122">
        <v>1.6374918356600897E-2</v>
      </c>
      <c r="AG364" s="122" t="s">
        <v>327</v>
      </c>
      <c r="AH364" s="122">
        <v>1.2551060916366106E-3</v>
      </c>
      <c r="AI364" s="122">
        <v>-1.2383409019375524E-4</v>
      </c>
      <c r="AJ364" s="122">
        <v>3.4491498329926784E-4</v>
      </c>
      <c r="AK364" s="122">
        <v>-3.4491498329926788E-5</v>
      </c>
      <c r="AL364" s="122">
        <v>1.0654632223259673E-3</v>
      </c>
      <c r="AM364" s="122">
        <v>2.9878618113912231E-4</v>
      </c>
      <c r="AN364" s="122">
        <v>1.7869725535414797E-4</v>
      </c>
      <c r="AO364" s="122">
        <v>5.981953183602064E-3</v>
      </c>
      <c r="AP364" s="122">
        <v>6.7251252770804803E-3</v>
      </c>
      <c r="AQ364" s="122">
        <v>6.8188898510337589E-4</v>
      </c>
      <c r="AR364" s="122">
        <v>1.3087655835441336E-6</v>
      </c>
      <c r="AS364" s="122">
        <f t="shared" si="9"/>
        <v>1.6699386574740467E-3</v>
      </c>
      <c r="AT364" s="122">
        <f t="shared" si="8"/>
        <v>1.5655674913819216E-3</v>
      </c>
    </row>
    <row r="365" spans="2:67" x14ac:dyDescent="0.35">
      <c r="B365" s="122" t="s">
        <v>353</v>
      </c>
      <c r="C365" s="122">
        <v>1.0916989500959369E-3</v>
      </c>
      <c r="D365" s="122">
        <v>-1.6336660500465173E-4</v>
      </c>
      <c r="E365" s="122">
        <v>5.0874587878184309E-4</v>
      </c>
      <c r="F365" s="122">
        <v>-2.5437293939092159E-5</v>
      </c>
      <c r="G365" s="122">
        <v>1.3005202080832333E-3</v>
      </c>
      <c r="H365" s="122">
        <v>1.6278211237588046E-3</v>
      </c>
      <c r="I365" s="122">
        <v>1.4005602240896359E-3</v>
      </c>
      <c r="J365" s="122">
        <v>1.05969077535025E-3</v>
      </c>
      <c r="K365" s="122">
        <v>1.322076324984648E-2</v>
      </c>
      <c r="L365" s="122">
        <v>9.9517617439792358E-5</v>
      </c>
      <c r="M365" s="122">
        <v>1.3788361982157096E-7</v>
      </c>
      <c r="N365" s="122">
        <v>2.0120652012122056E-2</v>
      </c>
      <c r="Q365" s="122" t="s">
        <v>371</v>
      </c>
      <c r="R365" s="122">
        <v>1.0347449498978036E-3</v>
      </c>
      <c r="S365" s="122">
        <v>-5.2575506979843073E-5</v>
      </c>
      <c r="T365" s="122">
        <v>3.4491498329926784E-4</v>
      </c>
      <c r="U365" s="122">
        <v>-3.4491498329926788E-5</v>
      </c>
      <c r="V365" s="122">
        <v>1.0654632223259673E-3</v>
      </c>
      <c r="W365" s="122">
        <v>4.305425874053325E-4</v>
      </c>
      <c r="X365" s="122">
        <v>1.7869725535414797E-4</v>
      </c>
      <c r="Y365" s="122">
        <v>2.7222524437461601E-3</v>
      </c>
      <c r="Z365" s="122">
        <v>7.0951122246133407E-3</v>
      </c>
      <c r="AA365" s="122">
        <v>0</v>
      </c>
      <c r="AB365" s="122">
        <v>3.7755256184454147E-3</v>
      </c>
      <c r="AC365" s="122">
        <v>1.6560186279777664E-2</v>
      </c>
      <c r="AG365" s="122" t="s">
        <v>371</v>
      </c>
      <c r="AH365" s="122">
        <v>1.0347449498978036E-3</v>
      </c>
      <c r="AI365" s="122">
        <v>-5.2575506979843073E-5</v>
      </c>
      <c r="AJ365" s="122">
        <v>3.4491498329926784E-4</v>
      </c>
      <c r="AK365" s="122">
        <v>-3.4491498329926788E-5</v>
      </c>
      <c r="AL365" s="122">
        <v>1.0654632223259673E-3</v>
      </c>
      <c r="AM365" s="122">
        <v>4.305425874053325E-4</v>
      </c>
      <c r="AN365" s="122">
        <v>1.7869725535414797E-4</v>
      </c>
      <c r="AO365" s="122">
        <v>2.7222524437461601E-3</v>
      </c>
      <c r="AP365" s="122">
        <v>7.0951122246133407E-3</v>
      </c>
      <c r="AQ365" s="122">
        <v>0</v>
      </c>
      <c r="AR365" s="122">
        <v>3.7755256184454147E-3</v>
      </c>
      <c r="AS365" s="122">
        <f t="shared" si="9"/>
        <v>1.8181145640207997E-3</v>
      </c>
      <c r="AT365" s="122">
        <f t="shared" si="8"/>
        <v>1.8201106455279573E-3</v>
      </c>
    </row>
    <row r="366" spans="2:67" x14ac:dyDescent="0.35">
      <c r="B366" s="122" t="s">
        <v>342</v>
      </c>
      <c r="C366" s="122">
        <v>8.7510622887057403E-4</v>
      </c>
      <c r="D366" s="122">
        <v>-1.3078063744341263E-4</v>
      </c>
      <c r="E366" s="122">
        <v>1.0174917575636864E-3</v>
      </c>
      <c r="F366" s="122">
        <v>-5.0874587878184312E-5</v>
      </c>
      <c r="G366" s="122">
        <v>1.5506202480992397E-3</v>
      </c>
      <c r="H366" s="122">
        <v>1.4052359304229719E-3</v>
      </c>
      <c r="I366" s="122">
        <v>1.6256502601040416E-3</v>
      </c>
      <c r="J366" s="122">
        <v>2.1857187249993688E-3</v>
      </c>
      <c r="K366" s="122">
        <v>1.152978824479842E-2</v>
      </c>
      <c r="L366" s="122">
        <v>1.5600559147295988E-4</v>
      </c>
      <c r="M366" s="122">
        <v>3.9043051812366417E-7</v>
      </c>
      <c r="N366" s="122">
        <v>2.016435219152779E-2</v>
      </c>
      <c r="Q366" s="122" t="s">
        <v>328</v>
      </c>
      <c r="R366" s="122">
        <v>1.0397745068075209E-3</v>
      </c>
      <c r="S366" s="122">
        <v>-1.0288771335031333E-4</v>
      </c>
      <c r="T366" s="122">
        <v>3.4491498329926784E-4</v>
      </c>
      <c r="U366" s="122">
        <v>-3.4491498329926788E-5</v>
      </c>
      <c r="V366" s="122">
        <v>1.0654632223259673E-3</v>
      </c>
      <c r="W366" s="122">
        <v>4.305425874053325E-4</v>
      </c>
      <c r="X366" s="122">
        <v>1.7869725535414797E-4</v>
      </c>
      <c r="Y366" s="122">
        <v>8.648815138865713E-3</v>
      </c>
      <c r="Z366" s="122">
        <v>8.6634215848329331E-3</v>
      </c>
      <c r="AA366" s="122">
        <v>4.8506136477580175E-4</v>
      </c>
      <c r="AB366" s="122">
        <v>1.6612755816924542E-6</v>
      </c>
      <c r="AC366" s="122">
        <v>2.0720972707568137E-2</v>
      </c>
      <c r="AG366" s="122" t="s">
        <v>328</v>
      </c>
      <c r="AH366" s="122">
        <v>1.0397745068075209E-3</v>
      </c>
      <c r="AI366" s="122">
        <v>-1.0288771335031333E-4</v>
      </c>
      <c r="AJ366" s="122">
        <v>3.4491498329926784E-4</v>
      </c>
      <c r="AK366" s="122">
        <v>-3.4491498329926788E-5</v>
      </c>
      <c r="AL366" s="122">
        <v>1.0654632223259673E-3</v>
      </c>
      <c r="AM366" s="122">
        <v>4.305425874053325E-4</v>
      </c>
      <c r="AN366" s="122">
        <v>1.7869725535414797E-4</v>
      </c>
      <c r="AO366" s="122">
        <v>8.648815138865713E-3</v>
      </c>
      <c r="AP366" s="122">
        <v>8.6634215848329331E-3</v>
      </c>
      <c r="AQ366" s="122">
        <v>4.8506136477580175E-4</v>
      </c>
      <c r="AR366" s="122">
        <v>1.6612755816924542E-6</v>
      </c>
      <c r="AS366" s="122">
        <f t="shared" si="9"/>
        <v>2.096608885154172E-3</v>
      </c>
      <c r="AT366" s="122">
        <f t="shared" si="8"/>
        <v>1.9655708298320501E-3</v>
      </c>
    </row>
    <row r="367" spans="2:67" x14ac:dyDescent="0.35">
      <c r="B367" s="122" t="s">
        <v>341</v>
      </c>
      <c r="C367" s="122">
        <v>1.364623687619921E-3</v>
      </c>
      <c r="D367" s="122">
        <v>-2.0420825625581466E-4</v>
      </c>
      <c r="E367" s="122">
        <v>1.0174917575636864E-3</v>
      </c>
      <c r="F367" s="122">
        <v>-5.0874587878184312E-5</v>
      </c>
      <c r="G367" s="122">
        <v>1.5506202480992397E-3</v>
      </c>
      <c r="H367" s="122">
        <v>2.0347764046985059E-3</v>
      </c>
      <c r="I367" s="122">
        <v>1.6256502601040416E-3</v>
      </c>
      <c r="J367" s="122">
        <v>1.3246134691878124E-3</v>
      </c>
      <c r="K367" s="122">
        <v>1.1777450752408599E-2</v>
      </c>
      <c r="L367" s="122">
        <v>1.5971776055492652E-4</v>
      </c>
      <c r="M367" s="122">
        <v>1.7235452477696371E-7</v>
      </c>
      <c r="N367" s="122">
        <v>2.060003385062751E-2</v>
      </c>
    </row>
    <row r="368" spans="2:67" x14ac:dyDescent="0.35">
      <c r="B368" s="122" t="s">
        <v>347</v>
      </c>
      <c r="C368" s="122">
        <v>7.6317014160409149E-4</v>
      </c>
      <c r="D368" s="122">
        <v>-3.832836099071531E-5</v>
      </c>
      <c r="E368" s="122">
        <v>7.6311881817276459E-4</v>
      </c>
      <c r="F368" s="122">
        <v>-3.8155940908638231E-5</v>
      </c>
      <c r="G368" s="122">
        <v>3.6264505802320927E-3</v>
      </c>
      <c r="H368" s="122">
        <v>2.6260504201680674E-3</v>
      </c>
      <c r="I368" s="122">
        <v>4.0016006402561026E-3</v>
      </c>
      <c r="J368" s="122">
        <v>2.0303525904647574E-3</v>
      </c>
      <c r="K368" s="122">
        <v>6.1632684868470171E-3</v>
      </c>
      <c r="L368" s="122">
        <v>0</v>
      </c>
      <c r="M368" s="122">
        <v>2.0378339096479639E-3</v>
      </c>
      <c r="N368" s="122">
        <v>2.1935361285493504E-2</v>
      </c>
    </row>
    <row r="369" spans="2:46" x14ac:dyDescent="0.35">
      <c r="B369" s="122" t="s">
        <v>328</v>
      </c>
      <c r="C369" s="122">
        <v>1.0397745068075209E-3</v>
      </c>
      <c r="D369" s="122">
        <v>-1.0288771335031333E-4</v>
      </c>
      <c r="E369" s="122">
        <v>3.4491498329926784E-4</v>
      </c>
      <c r="F369" s="122">
        <v>-3.4491498329926788E-5</v>
      </c>
      <c r="G369" s="122">
        <v>1.0654632223259673E-3</v>
      </c>
      <c r="H369" s="122">
        <v>4.305425874053325E-4</v>
      </c>
      <c r="I369" s="122">
        <v>1.7869725535414797E-4</v>
      </c>
      <c r="J369" s="122">
        <v>9.7494494830798577E-3</v>
      </c>
      <c r="K369" s="122">
        <v>9.4824983061085784E-3</v>
      </c>
      <c r="L369" s="122">
        <v>5.3092112911805843E-4</v>
      </c>
      <c r="M369" s="122">
        <v>1.6612755816924542E-6</v>
      </c>
      <c r="N369" s="122">
        <v>2.2686543537400187E-2</v>
      </c>
    </row>
    <row r="370" spans="2:46" x14ac:dyDescent="0.35">
      <c r="B370" s="122" t="s">
        <v>331</v>
      </c>
      <c r="C370" s="122">
        <v>1.0397745068075209E-3</v>
      </c>
      <c r="D370" s="122">
        <v>-1.0288771335031333E-4</v>
      </c>
      <c r="E370" s="122">
        <v>6.8982996659853576E-5</v>
      </c>
      <c r="F370" s="122">
        <v>-6.8982996659853564E-6</v>
      </c>
      <c r="G370" s="122">
        <v>1.0654632223259673E-3</v>
      </c>
      <c r="H370" s="122">
        <v>4.305425874053325E-4</v>
      </c>
      <c r="I370" s="122">
        <v>8.6011184229469056E-5</v>
      </c>
      <c r="J370" s="122">
        <v>9.7494494830798577E-3</v>
      </c>
      <c r="K370" s="122">
        <v>1.1396211546835721E-2</v>
      </c>
      <c r="L370" s="122">
        <v>5.1441232676689014E-4</v>
      </c>
      <c r="M370" s="122">
        <v>1.6612755816924542E-6</v>
      </c>
      <c r="N370" s="122">
        <v>2.4242723116676006E-2</v>
      </c>
    </row>
    <row r="371" spans="2:46" x14ac:dyDescent="0.35">
      <c r="B371" s="122" t="s">
        <v>343</v>
      </c>
      <c r="C371" s="122">
        <v>7.6317014160409149E-4</v>
      </c>
      <c r="D371" s="122">
        <v>-3.832836099071531E-5</v>
      </c>
      <c r="E371" s="122">
        <v>5.087458787818432E-4</v>
      </c>
      <c r="F371" s="122">
        <v>-2.5437293939092156E-5</v>
      </c>
      <c r="G371" s="122">
        <v>1.525610244097639E-3</v>
      </c>
      <c r="H371" s="122">
        <v>2.6260504201680674E-3</v>
      </c>
      <c r="I371" s="122">
        <v>1.6256502601040416E-3</v>
      </c>
      <c r="J371" s="122">
        <v>2.0303525904647574E-3</v>
      </c>
      <c r="K371" s="122">
        <v>1.4921701945191299E-2</v>
      </c>
      <c r="L371" s="122">
        <v>0</v>
      </c>
      <c r="M371" s="122">
        <v>2.0378339096479639E-3</v>
      </c>
      <c r="N371" s="122">
        <v>2.5975349735129896E-2</v>
      </c>
    </row>
    <row r="372" spans="2:46" x14ac:dyDescent="0.35">
      <c r="B372" s="122" t="s">
        <v>351</v>
      </c>
      <c r="C372" s="122">
        <v>6.1053611328327313E-4</v>
      </c>
      <c r="D372" s="122">
        <v>-3.0662688792572247E-5</v>
      </c>
      <c r="E372" s="122">
        <v>5.0874587878184309E-4</v>
      </c>
      <c r="F372" s="122">
        <v>-2.5437293939092159E-5</v>
      </c>
      <c r="G372" s="122">
        <v>1.3005202080832333E-3</v>
      </c>
      <c r="H372" s="122">
        <v>2.1008403361344541E-3</v>
      </c>
      <c r="I372" s="122">
        <v>1.4005602240896359E-3</v>
      </c>
      <c r="J372" s="122">
        <v>1.6242820723718061E-3</v>
      </c>
      <c r="K372" s="122">
        <v>1.7696250482073878E-2</v>
      </c>
      <c r="L372" s="122">
        <v>0</v>
      </c>
      <c r="M372" s="122">
        <v>1.6302671277183709E-3</v>
      </c>
      <c r="N372" s="122">
        <v>2.6815902459804832E-2</v>
      </c>
    </row>
    <row r="373" spans="2:46" x14ac:dyDescent="0.35">
      <c r="B373" s="122" t="s">
        <v>339</v>
      </c>
      <c r="C373" s="122">
        <v>7.6317014160409149E-4</v>
      </c>
      <c r="D373" s="122">
        <v>-3.832836099071531E-5</v>
      </c>
      <c r="E373" s="122">
        <v>1.0174917575636864E-3</v>
      </c>
      <c r="F373" s="122">
        <v>-5.0874587878184312E-5</v>
      </c>
      <c r="G373" s="122">
        <v>1.5506202480992397E-3</v>
      </c>
      <c r="H373" s="122">
        <v>2.6260504201680674E-3</v>
      </c>
      <c r="I373" s="122">
        <v>1.6256502601040416E-3</v>
      </c>
      <c r="J373" s="122">
        <v>2.0303525904647574E-3</v>
      </c>
      <c r="K373" s="122">
        <v>1.5673117776412206E-2</v>
      </c>
      <c r="L373" s="122">
        <v>0</v>
      </c>
      <c r="M373" s="122">
        <v>2.0378339096479639E-3</v>
      </c>
      <c r="N373" s="122">
        <v>2.7235084155195155E-2</v>
      </c>
      <c r="R373" s="122" t="s">
        <v>18</v>
      </c>
      <c r="S373" s="122" t="s">
        <v>28</v>
      </c>
      <c r="T373" s="122" t="s">
        <v>14</v>
      </c>
      <c r="U373" s="122" t="s">
        <v>25</v>
      </c>
      <c r="V373" s="122" t="s">
        <v>37</v>
      </c>
      <c r="W373" s="122" t="s">
        <v>52</v>
      </c>
      <c r="X373" s="122" t="s">
        <v>260</v>
      </c>
      <c r="Y373" s="122" t="s">
        <v>67</v>
      </c>
      <c r="Z373" s="122" t="s">
        <v>56</v>
      </c>
      <c r="AA373" s="122" t="s">
        <v>73</v>
      </c>
      <c r="AB373" s="122" t="s">
        <v>204</v>
      </c>
      <c r="AC373" s="122" t="s">
        <v>506</v>
      </c>
      <c r="AH373" s="122" t="s">
        <v>18</v>
      </c>
      <c r="AI373" s="122" t="s">
        <v>28</v>
      </c>
      <c r="AJ373" s="122" t="s">
        <v>528</v>
      </c>
      <c r="AK373" s="122" t="s">
        <v>25</v>
      </c>
      <c r="AL373" s="122" t="s">
        <v>529</v>
      </c>
      <c r="AM373" s="122" t="s">
        <v>52</v>
      </c>
      <c r="AN373" s="122" t="s">
        <v>530</v>
      </c>
      <c r="AO373" s="122" t="s">
        <v>67</v>
      </c>
      <c r="AP373" s="122" t="s">
        <v>531</v>
      </c>
      <c r="AQ373" s="122" t="s">
        <v>73</v>
      </c>
      <c r="AR373" s="122" t="s">
        <v>204</v>
      </c>
      <c r="AS373" s="122" t="s">
        <v>504</v>
      </c>
      <c r="AT373" s="122" t="s">
        <v>505</v>
      </c>
    </row>
    <row r="374" spans="2:46" x14ac:dyDescent="0.35">
      <c r="B374" s="122" t="s">
        <v>359</v>
      </c>
      <c r="C374" s="122">
        <v>8.497708528469412E-3</v>
      </c>
      <c r="D374" s="122">
        <v>-2.1233726283419697E-3</v>
      </c>
      <c r="E374" s="122">
        <v>2.964391815717463E-3</v>
      </c>
      <c r="F374" s="122">
        <v>-7.4109795392936575E-4</v>
      </c>
      <c r="G374" s="122">
        <v>2.5454545454545455E-2</v>
      </c>
      <c r="H374" s="122">
        <v>5.4545454545454541E-3</v>
      </c>
      <c r="I374" s="122">
        <v>4.4000000000000003E-3</v>
      </c>
      <c r="J374" s="122">
        <v>4.06392166231242E-3</v>
      </c>
      <c r="K374" s="122">
        <v>2.7817614593628102E-2</v>
      </c>
      <c r="L374" s="122">
        <v>2.6089162703623742E-3</v>
      </c>
      <c r="M374" s="122">
        <v>6.9881416122631238E-7</v>
      </c>
      <c r="N374" s="122">
        <v>7.8397872011470568E-2</v>
      </c>
      <c r="P374" s="122">
        <v>2023</v>
      </c>
      <c r="Q374" s="122" t="s">
        <v>375</v>
      </c>
      <c r="R374" s="122">
        <v>1.0347449498978036E-3</v>
      </c>
      <c r="S374" s="122">
        <v>-1.0336086682377807E-4</v>
      </c>
      <c r="T374" s="122">
        <v>3.4491498329926784E-4</v>
      </c>
      <c r="U374" s="122">
        <v>-3.4491498329926788E-5</v>
      </c>
      <c r="V374" s="122">
        <v>1.0654632223259673E-3</v>
      </c>
      <c r="W374" s="122">
        <v>4.305425874053325E-4</v>
      </c>
      <c r="X374" s="122">
        <v>1.7869725535414797E-4</v>
      </c>
      <c r="Y374" s="122">
        <v>1.9885516794763114E-3</v>
      </c>
      <c r="Z374" s="122">
        <v>5.0630613349252557E-3</v>
      </c>
      <c r="AA374" s="122">
        <v>0</v>
      </c>
      <c r="AB374" s="122">
        <v>1.829443359540834E-3</v>
      </c>
      <c r="AC374" s="122">
        <v>1.1797567007071217E-2</v>
      </c>
      <c r="AF374" s="122">
        <v>2023</v>
      </c>
      <c r="AG374" s="122" t="s">
        <v>375</v>
      </c>
      <c r="AH374" s="122">
        <v>1.0347449498978036E-3</v>
      </c>
      <c r="AI374" s="122">
        <v>-1.0336086682377807E-4</v>
      </c>
      <c r="AJ374" s="122">
        <v>3.4491498329926784E-4</v>
      </c>
      <c r="AK374" s="122">
        <v>-3.4491498329926788E-5</v>
      </c>
      <c r="AL374" s="122">
        <v>1.0654632223259673E-3</v>
      </c>
      <c r="AM374" s="122">
        <v>4.305425874053325E-4</v>
      </c>
      <c r="AN374" s="122">
        <v>1.7869725535414797E-4</v>
      </c>
      <c r="AO374" s="122">
        <v>1.9885516794763114E-3</v>
      </c>
      <c r="AP374" s="122">
        <v>5.0630613349252557E-3</v>
      </c>
      <c r="AQ374" s="122">
        <v>0</v>
      </c>
      <c r="AR374" s="122">
        <v>1.829443359540834E-3</v>
      </c>
      <c r="AS374" s="122">
        <f>AC408-AC374</f>
        <v>1.2605433374408143E-4</v>
      </c>
      <c r="AT374" s="122">
        <f>AC374-AC340</f>
        <v>3.6670351634641302E-4</v>
      </c>
    </row>
    <row r="375" spans="2:46" x14ac:dyDescent="0.35">
      <c r="B375" s="122" t="s">
        <v>362</v>
      </c>
      <c r="C375" s="122">
        <v>8.9023613155393838E-3</v>
      </c>
      <c r="D375" s="122">
        <v>-2.2244856106439686E-3</v>
      </c>
      <c r="E375" s="122">
        <v>1.552776665375814E-3</v>
      </c>
      <c r="F375" s="122">
        <v>-3.8819416634395349E-4</v>
      </c>
      <c r="G375" s="122">
        <v>2.6666666666666665E-2</v>
      </c>
      <c r="H375" s="122">
        <v>5.7142857142857143E-3</v>
      </c>
      <c r="I375" s="122">
        <v>4.4000000000000003E-3</v>
      </c>
      <c r="J375" s="122">
        <v>4.06392166231242E-3</v>
      </c>
      <c r="K375" s="122">
        <v>3.1184090487547715E-2</v>
      </c>
      <c r="L375" s="122">
        <v>2.6094903670234107E-3</v>
      </c>
      <c r="M375" s="122">
        <v>6.9881416122631238E-7</v>
      </c>
      <c r="N375" s="122">
        <v>8.248161191592443E-2</v>
      </c>
      <c r="Q375" s="122" t="s">
        <v>371</v>
      </c>
      <c r="R375" s="122">
        <v>1.0347449498978036E-3</v>
      </c>
      <c r="S375" s="122">
        <v>-1.0336086682377807E-4</v>
      </c>
      <c r="T375" s="122">
        <v>3.4491498329926784E-4</v>
      </c>
      <c r="U375" s="122">
        <v>-3.4491498329926788E-5</v>
      </c>
      <c r="V375" s="122">
        <v>1.0654632223259673E-3</v>
      </c>
      <c r="W375" s="122">
        <v>4.305425874053325E-4</v>
      </c>
      <c r="X375" s="122">
        <v>1.7869725535414797E-4</v>
      </c>
      <c r="Y375" s="122">
        <v>4.4360443997863777E-3</v>
      </c>
      <c r="Z375" s="122">
        <v>6.8149727095636499E-3</v>
      </c>
      <c r="AA375" s="122">
        <v>0</v>
      </c>
      <c r="AB375" s="122">
        <v>1.7360815489011045E-3</v>
      </c>
      <c r="AC375" s="122">
        <v>1.5903609291379947E-2</v>
      </c>
      <c r="AG375" s="122" t="s">
        <v>532</v>
      </c>
      <c r="AH375" s="122">
        <v>1.0347449498978036E-3</v>
      </c>
      <c r="AI375" s="122">
        <v>-1.0336086682377807E-4</v>
      </c>
      <c r="AJ375" s="122">
        <v>3.4491498329926784E-4</v>
      </c>
      <c r="AK375" s="122">
        <v>-3.4491498329926788E-5</v>
      </c>
      <c r="AL375" s="122">
        <v>1.0654632223259673E-3</v>
      </c>
      <c r="AM375" s="122">
        <v>4.305425874053325E-4</v>
      </c>
      <c r="AN375" s="122">
        <v>1.7869725535414797E-4</v>
      </c>
      <c r="AO375" s="122">
        <v>4.4360443997863777E-3</v>
      </c>
      <c r="AP375" s="122">
        <v>6.8149727095636499E-3</v>
      </c>
      <c r="AQ375" s="122">
        <v>0</v>
      </c>
      <c r="AR375" s="122">
        <v>1.7360815489011045E-3</v>
      </c>
      <c r="AS375" s="122">
        <f>AC409-AC375</f>
        <v>2.8120094994035089E-4</v>
      </c>
      <c r="AT375" s="122">
        <f>AC375-AC341</f>
        <v>8.1803912709922308E-4</v>
      </c>
    </row>
    <row r="376" spans="2:46" x14ac:dyDescent="0.35">
      <c r="B376" s="122" t="s">
        <v>360</v>
      </c>
      <c r="C376" s="122">
        <v>9.0858113202051029E-3</v>
      </c>
      <c r="D376" s="122">
        <v>-2.2699193820295231E-3</v>
      </c>
      <c r="E376" s="122">
        <v>2.964391815717463E-3</v>
      </c>
      <c r="F376" s="122">
        <v>-7.4109795392936575E-4</v>
      </c>
      <c r="G376" s="122">
        <v>2.5454545454545455E-2</v>
      </c>
      <c r="H376" s="122">
        <v>6.5474078574617092E-3</v>
      </c>
      <c r="I376" s="122">
        <v>4.4000000000000003E-3</v>
      </c>
      <c r="J376" s="122">
        <v>8.478341840292853E-3</v>
      </c>
      <c r="K376" s="122">
        <v>3.1164462188637714E-2</v>
      </c>
      <c r="L376" s="122">
        <v>1.134535468271039E-3</v>
      </c>
      <c r="M376" s="122">
        <v>1.8114752335067751E-6</v>
      </c>
      <c r="N376" s="122">
        <v>8.6220290084405973E-2</v>
      </c>
      <c r="Q376" s="122" t="s">
        <v>343</v>
      </c>
      <c r="R376" s="122">
        <v>7.6317014160409149E-4</v>
      </c>
      <c r="S376" s="122">
        <v>-1.1346797345547289E-4</v>
      </c>
      <c r="T376" s="122">
        <v>5.087458787818432E-4</v>
      </c>
      <c r="U376" s="122">
        <v>-2.5437293939092156E-5</v>
      </c>
      <c r="V376" s="122">
        <v>1.525610244097639E-3</v>
      </c>
      <c r="W376" s="122">
        <v>2.6260504201680674E-3</v>
      </c>
      <c r="X376" s="122">
        <v>1.6256502601040416E-3</v>
      </c>
      <c r="Y376" s="122">
        <v>2.2211568098096379E-3</v>
      </c>
      <c r="Z376" s="122">
        <v>1.350779996204865E-2</v>
      </c>
      <c r="AA376" s="122">
        <v>0</v>
      </c>
      <c r="AB376" s="122">
        <v>8.6996317577796474E-4</v>
      </c>
      <c r="AC376" s="122">
        <v>2.3509241624997367E-2</v>
      </c>
      <c r="AG376" s="122" t="s">
        <v>343</v>
      </c>
      <c r="AH376" s="122">
        <v>7.6317014160409149E-4</v>
      </c>
      <c r="AI376" s="122">
        <v>-1.1346797345547289E-4</v>
      </c>
      <c r="AJ376" s="122">
        <v>5.087458787818432E-4</v>
      </c>
      <c r="AK376" s="122">
        <v>-2.5437293939092156E-5</v>
      </c>
      <c r="AL376" s="122">
        <v>1.525610244097639E-3</v>
      </c>
      <c r="AM376" s="122">
        <v>2.6260504201680674E-3</v>
      </c>
      <c r="AN376" s="122">
        <v>1.6256502601040416E-3</v>
      </c>
      <c r="AO376" s="122">
        <v>2.2211568098096379E-3</v>
      </c>
      <c r="AP376" s="122">
        <v>1.350779996204865E-2</v>
      </c>
      <c r="AQ376" s="122">
        <v>0</v>
      </c>
      <c r="AR376" s="122">
        <v>8.6996317577796474E-4</v>
      </c>
      <c r="AS376" s="122">
        <f>AC410-AC376</f>
        <v>1.8919889538404622E-4</v>
      </c>
      <c r="AT376" s="122">
        <f>AC376-AC342</f>
        <v>5.5039678657176766E-4</v>
      </c>
    </row>
    <row r="377" spans="2:46" x14ac:dyDescent="0.35">
      <c r="B377" s="122" t="s">
        <v>358</v>
      </c>
      <c r="C377" s="122">
        <v>6.7329270291914978E-3</v>
      </c>
      <c r="D377" s="122">
        <v>-1.0113075190954952E-3</v>
      </c>
      <c r="E377" s="122">
        <v>2.964391815717463E-3</v>
      </c>
      <c r="F377" s="122">
        <v>-7.4109795392936575E-4</v>
      </c>
      <c r="G377" s="122">
        <v>2.5454545454545455E-2</v>
      </c>
      <c r="H377" s="122">
        <v>7.2727272727272727E-3</v>
      </c>
      <c r="I377" s="122">
        <v>4.4000000000000003E-3</v>
      </c>
      <c r="J377" s="122">
        <v>5.689282609377155E-3</v>
      </c>
      <c r="K377" s="122">
        <v>3.2599074795046028E-2</v>
      </c>
      <c r="L377" s="122">
        <v>0</v>
      </c>
      <c r="M377" s="122">
        <v>5.7102461303557804E-3</v>
      </c>
      <c r="N377" s="122">
        <v>8.9070789633935804E-2</v>
      </c>
      <c r="Q377" s="122" t="s">
        <v>361</v>
      </c>
      <c r="R377" s="122">
        <v>6.4495368251871292E-3</v>
      </c>
      <c r="S377" s="122">
        <v>-1.6030702191455165E-3</v>
      </c>
      <c r="T377" s="122">
        <v>1.552776665375814E-3</v>
      </c>
      <c r="U377" s="122">
        <v>-3.8819416634395349E-4</v>
      </c>
      <c r="V377" s="122">
        <v>2.6666666666666665E-2</v>
      </c>
      <c r="W377" s="122">
        <v>7.619047619047619E-3</v>
      </c>
      <c r="X377" s="122">
        <v>4.4000000000000003E-3</v>
      </c>
      <c r="Y377" s="122">
        <v>7.4999956937941573E-3</v>
      </c>
      <c r="Z377" s="122">
        <v>3.5248037269803176E-2</v>
      </c>
      <c r="AA377" s="122">
        <v>0</v>
      </c>
      <c r="AB377" s="122">
        <v>2.9375323900042061E-3</v>
      </c>
      <c r="AC377" s="122">
        <v>9.0382328744389298E-2</v>
      </c>
      <c r="AG377" s="122" t="s">
        <v>361</v>
      </c>
      <c r="AH377" s="122">
        <v>6.4495368251871292E-3</v>
      </c>
      <c r="AI377" s="122">
        <v>-1.6030702191455165E-3</v>
      </c>
      <c r="AJ377" s="122">
        <v>1.552776665375814E-3</v>
      </c>
      <c r="AK377" s="122">
        <v>-3.8819416634395349E-4</v>
      </c>
      <c r="AL377" s="122">
        <v>2.6666666666666665E-2</v>
      </c>
      <c r="AM377" s="122">
        <v>7.619047619047619E-3</v>
      </c>
      <c r="AN377" s="122">
        <v>4.4000000000000003E-3</v>
      </c>
      <c r="AO377" s="122">
        <v>7.4999956937941573E-3</v>
      </c>
      <c r="AP377" s="122">
        <v>3.5248037269803176E-2</v>
      </c>
      <c r="AQ377" s="122">
        <v>0</v>
      </c>
      <c r="AR377" s="122">
        <v>2.9375323900042061E-3</v>
      </c>
      <c r="AS377" s="122">
        <f>AC411-AC377</f>
        <v>4.4441891740423789E-4</v>
      </c>
      <c r="AT377" s="122">
        <f>AC377-AC343</f>
        <v>1.2928550324487059E-3</v>
      </c>
    </row>
    <row r="378" spans="2:46" x14ac:dyDescent="0.35">
      <c r="B378" s="122" t="s">
        <v>368</v>
      </c>
      <c r="C378" s="122">
        <v>1.0386088201462616E-2</v>
      </c>
      <c r="D378" s="122">
        <v>-2.5952332124179632E-3</v>
      </c>
      <c r="E378" s="122">
        <v>2.1135015723170798E-3</v>
      </c>
      <c r="F378" s="122">
        <v>-5.2837539307926996E-4</v>
      </c>
      <c r="G378" s="122">
        <v>3.111111111111111E-2</v>
      </c>
      <c r="H378" s="122">
        <v>6.6666666666666662E-3</v>
      </c>
      <c r="I378" s="122">
        <v>4.4000000000000003E-3</v>
      </c>
      <c r="J378" s="122">
        <v>4.0639216623124209E-3</v>
      </c>
      <c r="K378" s="122">
        <v>3.1879760742389504E-2</v>
      </c>
      <c r="L378" s="122">
        <v>2.9898906757853672E-3</v>
      </c>
      <c r="M378" s="122">
        <v>6.9881416122631238E-7</v>
      </c>
      <c r="N378" s="122">
        <v>9.0488030840708764E-2</v>
      </c>
    </row>
    <row r="379" spans="2:46" x14ac:dyDescent="0.35">
      <c r="B379" s="122" t="s">
        <v>363</v>
      </c>
      <c r="C379" s="122">
        <v>9.5184690021196325E-3</v>
      </c>
      <c r="D379" s="122">
        <v>-2.3780107811737857E-3</v>
      </c>
      <c r="E379" s="122">
        <v>1.552776665375814E-3</v>
      </c>
      <c r="F379" s="122">
        <v>-3.8819416634395349E-4</v>
      </c>
      <c r="G379" s="122">
        <v>2.6666666666666665E-2</v>
      </c>
      <c r="H379" s="122">
        <v>6.8591891840075045E-3</v>
      </c>
      <c r="I379" s="122">
        <v>4.4000000000000003E-3</v>
      </c>
      <c r="J379" s="122">
        <v>8.478341840292853E-3</v>
      </c>
      <c r="K379" s="122">
        <v>3.4981211051024294E-2</v>
      </c>
      <c r="L379" s="122">
        <v>1.136254567975066E-3</v>
      </c>
      <c r="M379" s="122">
        <v>1.8114752335067749E-6</v>
      </c>
      <c r="N379" s="122">
        <v>9.0828515505177593E-2</v>
      </c>
    </row>
    <row r="380" spans="2:46" x14ac:dyDescent="0.35">
      <c r="B380" s="122" t="s">
        <v>361</v>
      </c>
      <c r="C380" s="122">
        <v>7.0535426020101408E-3</v>
      </c>
      <c r="D380" s="122">
        <v>-1.0594650200048046E-3</v>
      </c>
      <c r="E380" s="122">
        <v>1.552776665375814E-3</v>
      </c>
      <c r="F380" s="122">
        <v>-3.8819416634395349E-4</v>
      </c>
      <c r="G380" s="122">
        <v>2.6666666666666665E-2</v>
      </c>
      <c r="H380" s="122">
        <v>7.619047619047619E-3</v>
      </c>
      <c r="I380" s="122">
        <v>4.4000000000000003E-3</v>
      </c>
      <c r="J380" s="122">
        <v>5.689282609377155E-3</v>
      </c>
      <c r="K380" s="122">
        <v>3.657800982034775E-2</v>
      </c>
      <c r="L380" s="122">
        <v>0</v>
      </c>
      <c r="M380" s="122">
        <v>5.7102461303557804E-3</v>
      </c>
      <c r="N380" s="122">
        <v>9.3821912926832174E-2</v>
      </c>
    </row>
    <row r="381" spans="2:46" x14ac:dyDescent="0.35">
      <c r="B381" s="122" t="s">
        <v>367</v>
      </c>
      <c r="C381" s="122">
        <v>8.2291330356784979E-3</v>
      </c>
      <c r="D381" s="122">
        <v>-1.2360425233389387E-3</v>
      </c>
      <c r="E381" s="122">
        <v>2.1135015723170798E-3</v>
      </c>
      <c r="F381" s="122">
        <v>-5.2837539307926996E-4</v>
      </c>
      <c r="G381" s="122">
        <v>3.111111111111111E-2</v>
      </c>
      <c r="H381" s="122">
        <v>8.8888888888888889E-3</v>
      </c>
      <c r="I381" s="122">
        <v>4.4000000000000003E-3</v>
      </c>
      <c r="J381" s="122">
        <v>5.689282609377155E-3</v>
      </c>
      <c r="K381" s="122">
        <v>3.3594890674001107E-2</v>
      </c>
      <c r="L381" s="122">
        <v>0</v>
      </c>
      <c r="M381" s="122">
        <v>5.7102461303557804E-3</v>
      </c>
      <c r="N381" s="122">
        <v>9.7972636105311428E-2</v>
      </c>
    </row>
    <row r="382" spans="2:46" x14ac:dyDescent="0.35">
      <c r="B382" s="122" t="s">
        <v>369</v>
      </c>
      <c r="C382" s="122">
        <v>1.1104880502472903E-2</v>
      </c>
      <c r="D382" s="122">
        <v>-2.7743459113694167E-3</v>
      </c>
      <c r="E382" s="122">
        <v>2.1135015723170798E-3</v>
      </c>
      <c r="F382" s="122">
        <v>-5.2837539307926996E-4</v>
      </c>
      <c r="G382" s="122">
        <v>3.111111111111111E-2</v>
      </c>
      <c r="H382" s="122">
        <v>8.0023873813420895E-3</v>
      </c>
      <c r="I382" s="122">
        <v>4.4000000000000003E-3</v>
      </c>
      <c r="J382" s="122">
        <v>8.4783418402928547E-3</v>
      </c>
      <c r="K382" s="122">
        <v>3.541841064251966E-2</v>
      </c>
      <c r="L382" s="122">
        <v>1.2893995365778343E-3</v>
      </c>
      <c r="M382" s="122">
        <v>1.8114752335067751E-6</v>
      </c>
      <c r="N382" s="122">
        <v>9.8617122757418352E-2</v>
      </c>
    </row>
    <row r="383" spans="2:46" x14ac:dyDescent="0.35">
      <c r="B383" s="122" t="s">
        <v>365</v>
      </c>
      <c r="C383" s="122">
        <v>1.1983947924764555E-2</v>
      </c>
      <c r="D383" s="122">
        <v>-2.9944998604822652E-3</v>
      </c>
      <c r="E383" s="122">
        <v>2.7870350404181278E-3</v>
      </c>
      <c r="F383" s="122">
        <v>-6.9675876010453195E-4</v>
      </c>
      <c r="G383" s="122">
        <v>3.5897435897435902E-2</v>
      </c>
      <c r="H383" s="122">
        <v>7.6923076923076927E-3</v>
      </c>
      <c r="I383" s="122">
        <v>4.4000000000000003E-3</v>
      </c>
      <c r="J383" s="122">
        <v>4.06392166231242E-3</v>
      </c>
      <c r="K383" s="122">
        <v>4.068044721738355E-2</v>
      </c>
      <c r="L383" s="122">
        <v>3.4041472263671158E-3</v>
      </c>
      <c r="M383" s="122">
        <v>6.9881416122631238E-7</v>
      </c>
      <c r="N383" s="122">
        <v>0.1072186828545638</v>
      </c>
    </row>
    <row r="384" spans="2:46" x14ac:dyDescent="0.35">
      <c r="B384" s="122" t="s">
        <v>366</v>
      </c>
      <c r="C384" s="122">
        <v>1.2813323656699505E-2</v>
      </c>
      <c r="D384" s="122">
        <v>-3.2011683592724038E-3</v>
      </c>
      <c r="E384" s="122">
        <v>2.7870350404181278E-3</v>
      </c>
      <c r="F384" s="122">
        <v>-6.9675876010453195E-4</v>
      </c>
      <c r="G384" s="122">
        <v>3.5897435897435902E-2</v>
      </c>
      <c r="H384" s="122">
        <v>9.2335239015485654E-3</v>
      </c>
      <c r="I384" s="122">
        <v>4.4000000000000003E-3</v>
      </c>
      <c r="J384" s="122">
        <v>8.478341840292853E-3</v>
      </c>
      <c r="K384" s="122">
        <v>4.4828365307855556E-2</v>
      </c>
      <c r="L384" s="122">
        <v>1.4561083886320825E-3</v>
      </c>
      <c r="M384" s="122">
        <v>1.8114752335067751E-6</v>
      </c>
      <c r="N384" s="122">
        <v>0.11599801838873916</v>
      </c>
      <c r="P384" s="122" t="s">
        <v>481</v>
      </c>
    </row>
    <row r="385" spans="1:29" x14ac:dyDescent="0.35">
      <c r="B385" s="122" t="s">
        <v>364</v>
      </c>
      <c r="C385" s="122">
        <v>9.4951535027059594E-3</v>
      </c>
      <c r="D385" s="122">
        <v>-1.4262029115449293E-3</v>
      </c>
      <c r="E385" s="122">
        <v>2.7870350404181278E-3</v>
      </c>
      <c r="F385" s="122">
        <v>-6.9675876010453195E-4</v>
      </c>
      <c r="G385" s="122">
        <v>3.5897435897435902E-2</v>
      </c>
      <c r="H385" s="122">
        <v>1.0256410256410255E-2</v>
      </c>
      <c r="I385" s="122">
        <v>4.4000000000000003E-3</v>
      </c>
      <c r="J385" s="122">
        <v>5.689282609377155E-3</v>
      </c>
      <c r="K385" s="122">
        <v>4.6340814332013466E-2</v>
      </c>
      <c r="L385" s="122">
        <v>0</v>
      </c>
      <c r="M385" s="122">
        <v>5.7102461303557804E-3</v>
      </c>
      <c r="N385" s="122">
        <v>0.11845341609706719</v>
      </c>
      <c r="R385" s="122" t="s">
        <v>18</v>
      </c>
      <c r="S385" s="122" t="s">
        <v>28</v>
      </c>
      <c r="T385" s="122" t="s">
        <v>14</v>
      </c>
      <c r="U385" s="122" t="s">
        <v>25</v>
      </c>
      <c r="V385" s="122" t="s">
        <v>37</v>
      </c>
      <c r="W385" s="122" t="s">
        <v>52</v>
      </c>
      <c r="X385" s="122" t="s">
        <v>260</v>
      </c>
      <c r="Y385" s="122" t="s">
        <v>67</v>
      </c>
      <c r="Z385" s="122" t="s">
        <v>56</v>
      </c>
      <c r="AA385" s="122" t="s">
        <v>73</v>
      </c>
      <c r="AB385" s="122" t="s">
        <v>204</v>
      </c>
      <c r="AC385" s="122" t="s">
        <v>506</v>
      </c>
    </row>
    <row r="386" spans="1:29" x14ac:dyDescent="0.35">
      <c r="B386" s="122" t="s">
        <v>356</v>
      </c>
      <c r="C386" s="122">
        <v>1.6995417056938824E-2</v>
      </c>
      <c r="D386" s="122">
        <v>-4.2467452566839394E-3</v>
      </c>
      <c r="E386" s="122">
        <v>3.9525224209566176E-3</v>
      </c>
      <c r="F386" s="122">
        <v>-9.8813060523915441E-4</v>
      </c>
      <c r="G386" s="122">
        <v>5.0909090909090911E-2</v>
      </c>
      <c r="H386" s="122">
        <v>1.0909090909090908E-2</v>
      </c>
      <c r="I386" s="122">
        <v>4.4000000000000003E-3</v>
      </c>
      <c r="J386" s="122">
        <v>4.0342174151229478E-3</v>
      </c>
      <c r="K386" s="122">
        <v>6.9097617972363107E-2</v>
      </c>
      <c r="L386" s="122">
        <v>4.6393934903808803E-3</v>
      </c>
      <c r="M386" s="122">
        <v>6.9881416122631238E-7</v>
      </c>
      <c r="N386" s="122">
        <v>0.15970317312618235</v>
      </c>
      <c r="P386" s="122">
        <v>2023</v>
      </c>
      <c r="Q386" s="122" t="s">
        <v>375</v>
      </c>
      <c r="R386" s="122">
        <v>1.0347449498978036E-3</v>
      </c>
      <c r="S386" s="122">
        <v>-1.0336086682377807E-4</v>
      </c>
      <c r="T386" s="122">
        <v>3.4491498329926784E-4</v>
      </c>
      <c r="U386" s="122">
        <v>-3.4491498329926788E-5</v>
      </c>
      <c r="V386" s="122">
        <v>1.0654632223259673E-3</v>
      </c>
      <c r="W386" s="122">
        <v>4.305425874053325E-4</v>
      </c>
      <c r="X386" s="122">
        <v>1.7869725535414797E-4</v>
      </c>
      <c r="Y386" s="122">
        <v>2.0608228308229173E-3</v>
      </c>
      <c r="Z386" s="122">
        <v>5.1168445173227313E-3</v>
      </c>
      <c r="AA386" s="122">
        <v>0</v>
      </c>
      <c r="AB386" s="122">
        <v>1.829443359540834E-3</v>
      </c>
      <c r="AC386" s="122">
        <v>1.1923621340815298E-2</v>
      </c>
    </row>
    <row r="387" spans="1:29" x14ac:dyDescent="0.35">
      <c r="B387" s="122" t="s">
        <v>357</v>
      </c>
      <c r="C387" s="122">
        <v>1.8171622640410206E-2</v>
      </c>
      <c r="D387" s="122">
        <v>-4.5398387640590461E-3</v>
      </c>
      <c r="E387" s="122">
        <v>3.9525224209566176E-3</v>
      </c>
      <c r="F387" s="122">
        <v>-9.8813060523915441E-4</v>
      </c>
      <c r="G387" s="122">
        <v>5.0909090909090911E-2</v>
      </c>
      <c r="H387" s="122">
        <v>1.3094815714923418E-2</v>
      </c>
      <c r="I387" s="122">
        <v>4.4000000000000003E-3</v>
      </c>
      <c r="J387" s="122">
        <v>8.478341840292853E-3</v>
      </c>
      <c r="K387" s="122">
        <v>7.5001533233068851E-2</v>
      </c>
      <c r="L387" s="122">
        <v>1.9547285667054076E-3</v>
      </c>
      <c r="M387" s="122">
        <v>1.8114752335067751E-6</v>
      </c>
      <c r="N387" s="122">
        <v>0.17043649743138359</v>
      </c>
      <c r="Q387" s="122" t="s">
        <v>371</v>
      </c>
      <c r="R387" s="122">
        <v>1.0347449498978036E-3</v>
      </c>
      <c r="S387" s="122">
        <v>-1.0336086682377807E-4</v>
      </c>
      <c r="T387" s="122">
        <v>3.4491498329926784E-4</v>
      </c>
      <c r="U387" s="122">
        <v>-3.4491498329926788E-5</v>
      </c>
      <c r="V387" s="122">
        <v>1.0654632223259673E-3</v>
      </c>
      <c r="W387" s="122">
        <v>4.305425874053325E-4</v>
      </c>
      <c r="X387" s="122">
        <v>1.7869725535414797E-4</v>
      </c>
      <c r="Y387" s="122">
        <v>4.5972662777521807E-3</v>
      </c>
      <c r="Z387" s="122">
        <v>6.934951781538197E-3</v>
      </c>
      <c r="AA387" s="122">
        <v>0</v>
      </c>
      <c r="AB387" s="122">
        <v>1.7360815489011045E-3</v>
      </c>
      <c r="AC387" s="122">
        <v>1.6184810241320298E-2</v>
      </c>
    </row>
    <row r="388" spans="1:29" x14ac:dyDescent="0.35">
      <c r="B388" s="122" t="s">
        <v>355</v>
      </c>
      <c r="C388" s="122">
        <v>1.3465854058382996E-2</v>
      </c>
      <c r="D388" s="122">
        <v>-2.0226150381909905E-3</v>
      </c>
      <c r="E388" s="122">
        <v>3.9525224209566176E-3</v>
      </c>
      <c r="F388" s="122">
        <v>-9.8813060523915441E-4</v>
      </c>
      <c r="G388" s="122">
        <v>5.0909090909090911E-2</v>
      </c>
      <c r="H388" s="122">
        <v>1.4545454545454545E-2</v>
      </c>
      <c r="I388" s="122">
        <v>4.4000000000000003E-3</v>
      </c>
      <c r="J388" s="122">
        <v>5.689282609377155E-3</v>
      </c>
      <c r="K388" s="122">
        <v>7.6715544903380575E-2</v>
      </c>
      <c r="L388" s="122">
        <v>0</v>
      </c>
      <c r="M388" s="122">
        <v>5.7102461303557804E-3</v>
      </c>
      <c r="N388" s="122">
        <v>0.17237724993356843</v>
      </c>
      <c r="Q388" s="122" t="s">
        <v>327</v>
      </c>
      <c r="R388" s="122">
        <v>2.0676718491395704E-3</v>
      </c>
      <c r="S388" s="122">
        <v>-1.0351994625618128E-4</v>
      </c>
      <c r="T388" s="122">
        <v>3.4491498329926784E-4</v>
      </c>
      <c r="U388" s="122">
        <v>-3.4491498329926788E-5</v>
      </c>
      <c r="V388" s="122">
        <v>1.0654632223259673E-3</v>
      </c>
      <c r="W388" s="122">
        <v>2.9878618113912231E-4</v>
      </c>
      <c r="X388" s="122">
        <v>1.7869725535414797E-4</v>
      </c>
      <c r="Y388" s="122">
        <v>1.1281068013309969E-2</v>
      </c>
      <c r="Z388" s="122">
        <v>1.1471848924667526E-2</v>
      </c>
      <c r="AA388" s="122">
        <v>1.3400606185818564E-3</v>
      </c>
      <c r="AB388" s="122">
        <v>2.4772393588019895E-4</v>
      </c>
      <c r="AC388" s="122">
        <v>2.8158223539111519E-2</v>
      </c>
    </row>
    <row r="389" spans="1:29" x14ac:dyDescent="0.35">
      <c r="Q389" s="122" t="s">
        <v>326</v>
      </c>
      <c r="R389" s="122">
        <v>2.0678991054715748E-3</v>
      </c>
      <c r="S389" s="122">
        <v>-1.0354267188938173E-4</v>
      </c>
      <c r="T389" s="122">
        <v>3.4491498329926784E-4</v>
      </c>
      <c r="U389" s="122">
        <v>-3.4491498329926788E-5</v>
      </c>
      <c r="V389" s="122">
        <v>1.0654632223259673E-3</v>
      </c>
      <c r="W389" s="122">
        <v>2.9878618113912231E-4</v>
      </c>
      <c r="X389" s="122">
        <v>1.7869725535414797E-4</v>
      </c>
      <c r="Y389" s="122">
        <v>1.2272875676237464E-2</v>
      </c>
      <c r="Z389" s="122">
        <v>1.2206612204370044E-2</v>
      </c>
      <c r="AA389" s="122">
        <v>1.8216255696068655E-3</v>
      </c>
      <c r="AB389" s="122">
        <v>2.4304989935415751E-4</v>
      </c>
      <c r="AC389" s="122">
        <v>3.0361889926939306E-2</v>
      </c>
    </row>
    <row r="390" spans="1:29" x14ac:dyDescent="0.35">
      <c r="Q390" s="122" t="s">
        <v>328</v>
      </c>
      <c r="R390" s="122">
        <v>1.3444866658711308E-3</v>
      </c>
      <c r="S390" s="122">
        <v>-6.7337961459558828E-5</v>
      </c>
      <c r="T390" s="122">
        <v>3.4491498329926784E-4</v>
      </c>
      <c r="U390" s="122">
        <v>-3.4491498329926788E-5</v>
      </c>
      <c r="V390" s="122">
        <v>1.0654632223259673E-3</v>
      </c>
      <c r="W390" s="122">
        <v>4.305425874053325E-4</v>
      </c>
      <c r="X390" s="122">
        <v>1.7869725535414797E-4</v>
      </c>
      <c r="Y390" s="122">
        <v>2.4929435480202329E-2</v>
      </c>
      <c r="Z390" s="122">
        <v>2.1265221188037118E-2</v>
      </c>
      <c r="AA390" s="122">
        <v>1.1906308738093702E-3</v>
      </c>
      <c r="AB390" s="122">
        <v>3.1444724009633705E-4</v>
      </c>
      <c r="AC390" s="122">
        <v>5.0962010036611514E-2</v>
      </c>
    </row>
    <row r="391" spans="1:29" x14ac:dyDescent="0.35">
      <c r="P391" s="122">
        <v>2034</v>
      </c>
      <c r="Q391" s="122" t="s">
        <v>375</v>
      </c>
      <c r="R391" s="122">
        <v>1.0347449498978036E-3</v>
      </c>
      <c r="S391" s="122">
        <v>-9.7956440009122124E-5</v>
      </c>
      <c r="T391" s="122">
        <v>3.4491498329926784E-4</v>
      </c>
      <c r="U391" s="122">
        <v>-3.4491498329926788E-5</v>
      </c>
      <c r="V391" s="122">
        <v>1.0654632223259673E-3</v>
      </c>
      <c r="W391" s="122">
        <v>4.305425874053325E-4</v>
      </c>
      <c r="X391" s="122">
        <v>1.7869725535414797E-4</v>
      </c>
      <c r="Y391" s="122">
        <v>1.838708050759685E-3</v>
      </c>
      <c r="Z391" s="122">
        <v>6.6843328246636025E-3</v>
      </c>
      <c r="AA391" s="122">
        <v>0</v>
      </c>
      <c r="AB391" s="122">
        <v>4.1524661257787056E-3</v>
      </c>
      <c r="AC391" s="122">
        <v>1.5597422061145463E-2</v>
      </c>
    </row>
    <row r="392" spans="1:29" x14ac:dyDescent="0.35">
      <c r="Q392" s="122" t="s">
        <v>371</v>
      </c>
      <c r="R392" s="122">
        <v>1.0347449498978036E-3</v>
      </c>
      <c r="S392" s="122">
        <v>-9.7956440009122124E-5</v>
      </c>
      <c r="T392" s="122">
        <v>3.4491498329926784E-4</v>
      </c>
      <c r="U392" s="122">
        <v>-3.4491498329926788E-5</v>
      </c>
      <c r="V392" s="122">
        <v>1.0654632223259673E-3</v>
      </c>
      <c r="W392" s="122">
        <v>4.305425874053325E-4</v>
      </c>
      <c r="X392" s="122">
        <v>1.7869725535414797E-4</v>
      </c>
      <c r="Y392" s="122">
        <v>4.1017744902474345E-3</v>
      </c>
      <c r="Z392" s="122">
        <v>8.2107730306840102E-3</v>
      </c>
      <c r="AA392" s="122">
        <v>0</v>
      </c>
      <c r="AB392" s="122">
        <v>3.9405537131308793E-3</v>
      </c>
      <c r="AC392" s="122">
        <v>1.9175016294005795E-2</v>
      </c>
    </row>
    <row r="393" spans="1:29" x14ac:dyDescent="0.35">
      <c r="A393" s="129" t="s">
        <v>397</v>
      </c>
      <c r="Q393" s="122" t="s">
        <v>327</v>
      </c>
      <c r="R393" s="122">
        <v>1.9812010201050753E-3</v>
      </c>
      <c r="S393" s="122">
        <v>-1.0568171698204363E-4</v>
      </c>
      <c r="T393" s="122">
        <v>3.4491498329926784E-4</v>
      </c>
      <c r="U393" s="122">
        <v>-3.4491498329926788E-5</v>
      </c>
      <c r="V393" s="122">
        <v>1.0654632223259673E-3</v>
      </c>
      <c r="W393" s="122">
        <v>2.9878618113912231E-4</v>
      </c>
      <c r="X393" s="122">
        <v>1.7869725535414797E-4</v>
      </c>
      <c r="Y393" s="122">
        <v>1.0257993776547255E-2</v>
      </c>
      <c r="Z393" s="122">
        <v>1.0705383345754259E-2</v>
      </c>
      <c r="AA393" s="122">
        <v>1.2327946859695196E-3</v>
      </c>
      <c r="AB393" s="122">
        <v>3.29492650738565E-4</v>
      </c>
      <c r="AC393" s="122">
        <v>2.6254553905921209E-2</v>
      </c>
    </row>
    <row r="394" spans="1:29" x14ac:dyDescent="0.35">
      <c r="Q394" s="122" t="s">
        <v>326</v>
      </c>
      <c r="R394" s="122">
        <v>1.9922371300663917E-3</v>
      </c>
      <c r="S394" s="122">
        <v>-1.067853279781753E-4</v>
      </c>
      <c r="T394" s="122">
        <v>3.4491498329926784E-4</v>
      </c>
      <c r="U394" s="122">
        <v>-3.4491498329926788E-5</v>
      </c>
      <c r="V394" s="122">
        <v>1.0654632223259673E-3</v>
      </c>
      <c r="W394" s="122">
        <v>2.9878618113912231E-4</v>
      </c>
      <c r="X394" s="122">
        <v>1.7869725535414797E-4</v>
      </c>
      <c r="Y394" s="122">
        <v>1.0358284649412651E-2</v>
      </c>
      <c r="Z394" s="122">
        <v>1.0782783553652911E-2</v>
      </c>
      <c r="AA394" s="122">
        <v>1.5718624642608366E-3</v>
      </c>
      <c r="AB394" s="122">
        <v>3.2327580827179973E-4</v>
      </c>
      <c r="AC394" s="122">
        <v>2.677502842147499E-2</v>
      </c>
    </row>
    <row r="395" spans="1:29" x14ac:dyDescent="0.35">
      <c r="Q395" s="122" t="s">
        <v>328</v>
      </c>
      <c r="R395" s="122">
        <v>1.3120601049831952E-3</v>
      </c>
      <c r="S395" s="122">
        <v>-7.1121060229817985E-5</v>
      </c>
      <c r="T395" s="122">
        <v>3.4491498329926784E-4</v>
      </c>
      <c r="U395" s="122">
        <v>-3.4491498329926788E-5</v>
      </c>
      <c r="V395" s="122">
        <v>1.0654632223259673E-3</v>
      </c>
      <c r="W395" s="122">
        <v>4.305425874053325E-4</v>
      </c>
      <c r="X395" s="122">
        <v>1.7869725535414797E-4</v>
      </c>
      <c r="Y395" s="122">
        <v>1.6567975451505536E-2</v>
      </c>
      <c r="Z395" s="122">
        <v>1.5093033693524077E-2</v>
      </c>
      <c r="AA395" s="122">
        <v>8.4505266773637205E-4</v>
      </c>
      <c r="AB395" s="122">
        <v>4.1823998269942579E-4</v>
      </c>
      <c r="AC395" s="122">
        <v>3.6150367390273573E-2</v>
      </c>
    </row>
    <row r="396" spans="1:29" x14ac:dyDescent="0.35">
      <c r="P396" s="122">
        <v>2050</v>
      </c>
      <c r="Q396" s="122" t="s">
        <v>375</v>
      </c>
      <c r="R396" s="122">
        <v>1.0347449498978036E-3</v>
      </c>
      <c r="S396" s="122">
        <v>-5.2575506979843073E-5</v>
      </c>
      <c r="T396" s="122">
        <v>3.4491498329926784E-4</v>
      </c>
      <c r="U396" s="122">
        <v>-3.4491498329926788E-5</v>
      </c>
      <c r="V396" s="122">
        <v>1.0654632223259673E-3</v>
      </c>
      <c r="W396" s="122">
        <v>4.305425874053325E-4</v>
      </c>
      <c r="X396" s="122">
        <v>1.7869725535414797E-4</v>
      </c>
      <c r="Y396" s="122">
        <v>1.6880924837231871E-3</v>
      </c>
      <c r="Z396" s="122">
        <v>6.4766025942449342E-3</v>
      </c>
      <c r="AA396" s="122">
        <v>0</v>
      </c>
      <c r="AB396" s="122">
        <v>3.9785632626608411E-3</v>
      </c>
      <c r="AC396" s="122">
        <v>1.511055433360171E-2</v>
      </c>
    </row>
    <row r="397" spans="1:29" x14ac:dyDescent="0.35">
      <c r="C397" s="122" t="s">
        <v>18</v>
      </c>
      <c r="D397" s="122" t="s">
        <v>28</v>
      </c>
      <c r="E397" s="122" t="s">
        <v>14</v>
      </c>
      <c r="F397" s="122" t="s">
        <v>25</v>
      </c>
      <c r="G397" s="122" t="s">
        <v>37</v>
      </c>
      <c r="H397" s="122" t="s">
        <v>52</v>
      </c>
      <c r="I397" s="122" t="s">
        <v>260</v>
      </c>
      <c r="J397" s="122" t="s">
        <v>67</v>
      </c>
      <c r="K397" s="122" t="s">
        <v>56</v>
      </c>
      <c r="L397" s="122" t="s">
        <v>73</v>
      </c>
      <c r="M397" s="122" t="s">
        <v>204</v>
      </c>
      <c r="N397" s="122" t="s">
        <v>378</v>
      </c>
      <c r="Q397" s="122" t="s">
        <v>326</v>
      </c>
      <c r="R397" s="122">
        <v>1.3569040676564852E-3</v>
      </c>
      <c r="S397" s="122">
        <v>-1.3401388779574273E-4</v>
      </c>
      <c r="T397" s="122">
        <v>3.4491498329926784E-4</v>
      </c>
      <c r="U397" s="122">
        <v>-3.4491498329926788E-5</v>
      </c>
      <c r="V397" s="122">
        <v>1.0654632223259673E-3</v>
      </c>
      <c r="W397" s="122">
        <v>2.9878618113912231E-4</v>
      </c>
      <c r="X397" s="122">
        <v>1.7869725535414797E-4</v>
      </c>
      <c r="Y397" s="122">
        <v>6.5156977611726787E-3</v>
      </c>
      <c r="Z397" s="122">
        <v>7.1904931373954553E-3</v>
      </c>
      <c r="AA397" s="122">
        <v>8.438939851007736E-4</v>
      </c>
      <c r="AB397" s="122">
        <v>1.2840718932885571E-6</v>
      </c>
      <c r="AC397" s="122">
        <v>1.7627629279211517E-2</v>
      </c>
    </row>
    <row r="398" spans="1:29" x14ac:dyDescent="0.35">
      <c r="A398" s="147">
        <v>2023</v>
      </c>
      <c r="B398" s="122" t="s">
        <v>377</v>
      </c>
      <c r="C398" s="122">
        <v>1.0347449498978036E-3</v>
      </c>
      <c r="D398" s="122">
        <v>-1.0336086682377807E-4</v>
      </c>
      <c r="E398" s="122">
        <v>6.8982996659853576E-5</v>
      </c>
      <c r="F398" s="122">
        <v>-6.8982996659853564E-6</v>
      </c>
      <c r="G398" s="122">
        <v>1.0654632223259673E-3</v>
      </c>
      <c r="H398" s="122">
        <v>4.305425874053325E-4</v>
      </c>
      <c r="I398" s="122">
        <v>8.6011184229469056E-5</v>
      </c>
      <c r="J398" s="122">
        <v>1.7783083301043669E-3</v>
      </c>
      <c r="K398" s="122">
        <v>2.9162513237674494E-3</v>
      </c>
      <c r="L398" s="122">
        <v>0</v>
      </c>
      <c r="M398" s="122">
        <v>1.829443359540834E-3</v>
      </c>
      <c r="N398" s="122">
        <v>9.0994887874413129E-3</v>
      </c>
      <c r="Q398" s="122" t="s">
        <v>327</v>
      </c>
      <c r="R398" s="122">
        <v>1.2551060916366106E-3</v>
      </c>
      <c r="S398" s="122">
        <v>-1.2383409019375524E-4</v>
      </c>
      <c r="T398" s="122">
        <v>3.4491498329926784E-4</v>
      </c>
      <c r="U398" s="122">
        <v>-3.4491498329926788E-5</v>
      </c>
      <c r="V398" s="122">
        <v>1.0654632223259673E-3</v>
      </c>
      <c r="W398" s="122">
        <v>2.9878618113912231E-4</v>
      </c>
      <c r="X398" s="122">
        <v>1.7869725535414797E-4</v>
      </c>
      <c r="Y398" s="122">
        <v>6.8423242323661987E-3</v>
      </c>
      <c r="Z398" s="122">
        <v>7.3654014063933224E-3</v>
      </c>
      <c r="AA398" s="122">
        <v>7.4680929840831821E-4</v>
      </c>
      <c r="AB398" s="122">
        <v>1.3087655835441336E-6</v>
      </c>
      <c r="AC398" s="122">
        <v>1.7940485847982818E-2</v>
      </c>
    </row>
    <row r="399" spans="1:29" x14ac:dyDescent="0.35">
      <c r="A399" s="147"/>
      <c r="B399" s="122" t="s">
        <v>374</v>
      </c>
      <c r="C399" s="122">
        <v>1.0347449498978036E-3</v>
      </c>
      <c r="D399" s="122">
        <v>-1.0336086682377807E-4</v>
      </c>
      <c r="E399" s="122">
        <v>6.8982996659853576E-5</v>
      </c>
      <c r="F399" s="122">
        <v>-6.8982996659853564E-6</v>
      </c>
      <c r="G399" s="122">
        <v>1.0654632223259673E-3</v>
      </c>
      <c r="H399" s="122">
        <v>4.305425874053325E-4</v>
      </c>
      <c r="I399" s="122">
        <v>8.9502842587904882E-5</v>
      </c>
      <c r="J399" s="122">
        <v>1.7783083301043669E-3</v>
      </c>
      <c r="K399" s="122">
        <v>2.9178944571125968E-3</v>
      </c>
      <c r="L399" s="122">
        <v>0</v>
      </c>
      <c r="M399" s="122">
        <v>1.829443359540834E-3</v>
      </c>
      <c r="N399" s="122">
        <v>9.1046235791448962E-3</v>
      </c>
      <c r="Q399" s="122" t="s">
        <v>371</v>
      </c>
      <c r="R399" s="122">
        <v>1.0347449498978036E-3</v>
      </c>
      <c r="S399" s="122">
        <v>-5.2575506979843073E-5</v>
      </c>
      <c r="T399" s="122">
        <v>3.4491498329926784E-4</v>
      </c>
      <c r="U399" s="122">
        <v>-3.4491498329926788E-5</v>
      </c>
      <c r="V399" s="122">
        <v>1.0654632223259673E-3</v>
      </c>
      <c r="W399" s="122">
        <v>4.305425874053325E-4</v>
      </c>
      <c r="X399" s="122">
        <v>1.7869725535414797E-4</v>
      </c>
      <c r="Y399" s="122">
        <v>3.7657825471821881E-3</v>
      </c>
      <c r="Z399" s="122">
        <v>7.8716927667052683E-3</v>
      </c>
      <c r="AA399" s="122">
        <v>0</v>
      </c>
      <c r="AB399" s="122">
        <v>3.7755256184454147E-3</v>
      </c>
      <c r="AC399" s="122">
        <v>1.8380296925305621E-2</v>
      </c>
    </row>
    <row r="400" spans="1:29" x14ac:dyDescent="0.35">
      <c r="A400" s="147"/>
      <c r="B400" s="122" t="s">
        <v>375</v>
      </c>
      <c r="C400" s="122">
        <v>1.0347449498978036E-3</v>
      </c>
      <c r="D400" s="122">
        <v>-1.0336086682377807E-4</v>
      </c>
      <c r="E400" s="122">
        <v>3.4491498329926784E-4</v>
      </c>
      <c r="F400" s="122">
        <v>-3.4491498329926788E-5</v>
      </c>
      <c r="G400" s="122">
        <v>1.0654632223259673E-3</v>
      </c>
      <c r="H400" s="122">
        <v>4.305425874053325E-4</v>
      </c>
      <c r="I400" s="122">
        <v>1.7869725535414797E-4</v>
      </c>
      <c r="J400" s="122">
        <v>1.7783083301043669E-3</v>
      </c>
      <c r="K400" s="122">
        <v>4.906601167950787E-3</v>
      </c>
      <c r="L400" s="122">
        <v>0</v>
      </c>
      <c r="M400" s="122">
        <v>1.829443359540834E-3</v>
      </c>
      <c r="N400" s="122">
        <v>1.1430863490724804E-2</v>
      </c>
      <c r="Q400" s="122" t="s">
        <v>328</v>
      </c>
      <c r="R400" s="122">
        <v>1.0397745068075209E-3</v>
      </c>
      <c r="S400" s="122">
        <v>-1.0288771335031333E-4</v>
      </c>
      <c r="T400" s="122">
        <v>3.4491498329926784E-4</v>
      </c>
      <c r="U400" s="122">
        <v>-3.4491498329926788E-5</v>
      </c>
      <c r="V400" s="122">
        <v>1.0654632223259673E-3</v>
      </c>
      <c r="W400" s="122">
        <v>4.305425874053325E-4</v>
      </c>
      <c r="X400" s="122">
        <v>1.7869725535414797E-4</v>
      </c>
      <c r="Y400" s="122">
        <v>9.7494494830798577E-3</v>
      </c>
      <c r="Z400" s="122">
        <v>9.4824983061085784E-3</v>
      </c>
      <c r="AA400" s="122">
        <v>5.3092112911805843E-4</v>
      </c>
      <c r="AB400" s="122">
        <v>1.6612755816924542E-6</v>
      </c>
      <c r="AC400" s="122">
        <v>2.2686543537400187E-2</v>
      </c>
    </row>
    <row r="401" spans="1:29" x14ac:dyDescent="0.35">
      <c r="A401" s="147"/>
      <c r="B401" s="122" t="s">
        <v>376</v>
      </c>
      <c r="C401" s="122">
        <v>1.0347449498978036E-3</v>
      </c>
      <c r="D401" s="122">
        <v>-1.0336086682377807E-4</v>
      </c>
      <c r="E401" s="122">
        <v>6.8982996659853576E-5</v>
      </c>
      <c r="F401" s="122">
        <v>-6.8982996659853564E-6</v>
      </c>
      <c r="G401" s="122">
        <v>1.0654632223259673E-3</v>
      </c>
      <c r="H401" s="122">
        <v>4.305425874053325E-4</v>
      </c>
      <c r="I401" s="122">
        <v>8.6011184229469056E-5</v>
      </c>
      <c r="J401" s="122">
        <v>1.7783083301043669E-3</v>
      </c>
      <c r="K401" s="122">
        <v>5.7203391350823087E-3</v>
      </c>
      <c r="L401" s="122">
        <v>0</v>
      </c>
      <c r="M401" s="122">
        <v>1.829443359540834E-3</v>
      </c>
      <c r="N401" s="122">
        <v>1.1903576598756172E-2</v>
      </c>
    </row>
    <row r="402" spans="1:29" x14ac:dyDescent="0.35">
      <c r="A402" s="147"/>
      <c r="B402" s="122" t="s">
        <v>336</v>
      </c>
      <c r="C402" s="122">
        <v>1.0902430594344164E-3</v>
      </c>
      <c r="D402" s="122">
        <v>-1.6353645891516245E-4</v>
      </c>
      <c r="E402" s="122">
        <v>7.6311881817276459E-4</v>
      </c>
      <c r="F402" s="122">
        <v>-3.8155940908638231E-5</v>
      </c>
      <c r="G402" s="122">
        <v>1.6256502601040416E-3</v>
      </c>
      <c r="H402" s="122">
        <v>1.6256502601040416E-3</v>
      </c>
      <c r="I402" s="122">
        <v>1.7507002801120447E-3</v>
      </c>
      <c r="J402" s="122">
        <v>1.0618078130184294E-3</v>
      </c>
      <c r="K402" s="122">
        <v>4.4001530545965031E-3</v>
      </c>
      <c r="L402" s="122">
        <v>0</v>
      </c>
      <c r="M402" s="122">
        <v>3.070434634345955E-5</v>
      </c>
      <c r="N402" s="122">
        <v>1.2146335492061901E-2</v>
      </c>
    </row>
    <row r="403" spans="1:29" x14ac:dyDescent="0.35">
      <c r="A403" s="147"/>
      <c r="B403" s="122" t="s">
        <v>373</v>
      </c>
      <c r="C403" s="122">
        <v>1.0347449498978036E-3</v>
      </c>
      <c r="D403" s="122">
        <v>-1.0336086682377807E-4</v>
      </c>
      <c r="E403" s="122">
        <v>6.8982996659853576E-5</v>
      </c>
      <c r="F403" s="122">
        <v>-6.8982996659853564E-6</v>
      </c>
      <c r="G403" s="122">
        <v>1.0654632223259673E-3</v>
      </c>
      <c r="H403" s="122">
        <v>4.305425874053325E-4</v>
      </c>
      <c r="I403" s="122">
        <v>8.6011184229469056E-5</v>
      </c>
      <c r="J403" s="122">
        <v>3.9670353002494918E-3</v>
      </c>
      <c r="K403" s="122">
        <v>3.9023055164758708E-3</v>
      </c>
      <c r="L403" s="122">
        <v>0</v>
      </c>
      <c r="M403" s="122">
        <v>1.7360815489011045E-3</v>
      </c>
      <c r="N403" s="122">
        <v>1.2180908139655128E-2</v>
      </c>
    </row>
    <row r="404" spans="1:29" x14ac:dyDescent="0.35">
      <c r="A404" s="147"/>
      <c r="B404" s="122" t="s">
        <v>370</v>
      </c>
      <c r="C404" s="122">
        <v>1.0347449498978036E-3</v>
      </c>
      <c r="D404" s="122">
        <v>-1.0336086682377807E-4</v>
      </c>
      <c r="E404" s="122">
        <v>6.8982996659853576E-5</v>
      </c>
      <c r="F404" s="122">
        <v>-6.8982996659853564E-6</v>
      </c>
      <c r="G404" s="122">
        <v>1.0654632223259673E-3</v>
      </c>
      <c r="H404" s="122">
        <v>4.305425874053325E-4</v>
      </c>
      <c r="I404" s="122">
        <v>8.9502842587904882E-5</v>
      </c>
      <c r="J404" s="122">
        <v>3.9670353002494918E-3</v>
      </c>
      <c r="K404" s="122">
        <v>3.9039486498210173E-3</v>
      </c>
      <c r="L404" s="122">
        <v>0</v>
      </c>
      <c r="M404" s="122">
        <v>1.7360815489011045E-3</v>
      </c>
      <c r="N404" s="122">
        <v>1.2186042931358712E-2</v>
      </c>
    </row>
    <row r="405" spans="1:29" x14ac:dyDescent="0.35">
      <c r="A405" s="147"/>
      <c r="B405" s="122" t="s">
        <v>371</v>
      </c>
      <c r="C405" s="122">
        <v>1.0347449498978036E-3</v>
      </c>
      <c r="D405" s="122">
        <v>-1.0336086682377807E-4</v>
      </c>
      <c r="E405" s="122">
        <v>3.4491498329926784E-4</v>
      </c>
      <c r="F405" s="122">
        <v>-3.4491498329926788E-5</v>
      </c>
      <c r="G405" s="122">
        <v>1.0654632223259673E-3</v>
      </c>
      <c r="H405" s="122">
        <v>4.305425874053325E-4</v>
      </c>
      <c r="I405" s="122">
        <v>1.7869725535414797E-4</v>
      </c>
      <c r="J405" s="122">
        <v>3.9670353002494918E-3</v>
      </c>
      <c r="K405" s="122">
        <v>6.4659426820013136E-3</v>
      </c>
      <c r="L405" s="122">
        <v>0</v>
      </c>
      <c r="M405" s="122">
        <v>1.7360815489011045E-3</v>
      </c>
      <c r="N405" s="122">
        <v>1.5085570164280724E-2</v>
      </c>
    </row>
    <row r="406" spans="1:29" x14ac:dyDescent="0.35">
      <c r="A406" s="147"/>
      <c r="B406" s="122" t="s">
        <v>372</v>
      </c>
      <c r="C406" s="122">
        <v>1.0347449498978036E-3</v>
      </c>
      <c r="D406" s="122">
        <v>-1.0336086682377807E-4</v>
      </c>
      <c r="E406" s="122">
        <v>6.8982996659853576E-5</v>
      </c>
      <c r="F406" s="122">
        <v>-6.8982996659853564E-6</v>
      </c>
      <c r="G406" s="122">
        <v>1.0654632223259673E-3</v>
      </c>
      <c r="H406" s="122">
        <v>4.305425874053325E-4</v>
      </c>
      <c r="I406" s="122">
        <v>8.6011184229469056E-5</v>
      </c>
      <c r="J406" s="122">
        <v>3.9670353002494918E-3</v>
      </c>
      <c r="K406" s="122">
        <v>7.6545223592411338E-3</v>
      </c>
      <c r="L406" s="122">
        <v>0</v>
      </c>
      <c r="M406" s="122">
        <v>1.7360815489011045E-3</v>
      </c>
      <c r="N406" s="122">
        <v>1.5933124982420391E-2</v>
      </c>
    </row>
    <row r="407" spans="1:29" x14ac:dyDescent="0.35">
      <c r="A407" s="147"/>
      <c r="B407" s="122" t="s">
        <v>335</v>
      </c>
      <c r="C407" s="122">
        <v>7.6317014160409149E-4</v>
      </c>
      <c r="D407" s="122">
        <v>-1.1346797345547289E-4</v>
      </c>
      <c r="E407" s="122">
        <v>7.6311881817276459E-4</v>
      </c>
      <c r="F407" s="122">
        <v>-3.8155940908638231E-5</v>
      </c>
      <c r="G407" s="122">
        <v>1.6256502601040416E-3</v>
      </c>
      <c r="H407" s="122">
        <v>2.6260504201680674E-3</v>
      </c>
      <c r="I407" s="122">
        <v>1.7507002801120447E-3</v>
      </c>
      <c r="J407" s="122">
        <v>1.9863208475390157E-3</v>
      </c>
      <c r="K407" s="122">
        <v>5.7991848248987732E-3</v>
      </c>
      <c r="L407" s="122">
        <v>0</v>
      </c>
      <c r="M407" s="122">
        <v>8.6996317577796474E-4</v>
      </c>
      <c r="N407" s="122">
        <v>1.6032534854012653E-2</v>
      </c>
      <c r="R407" s="122" t="s">
        <v>18</v>
      </c>
      <c r="S407" s="122" t="s">
        <v>28</v>
      </c>
      <c r="T407" s="122" t="s">
        <v>14</v>
      </c>
      <c r="U407" s="122" t="s">
        <v>25</v>
      </c>
      <c r="V407" s="122" t="s">
        <v>37</v>
      </c>
      <c r="W407" s="122" t="s">
        <v>52</v>
      </c>
      <c r="X407" s="122" t="s">
        <v>260</v>
      </c>
      <c r="Y407" s="122" t="s">
        <v>67</v>
      </c>
      <c r="Z407" s="122" t="s">
        <v>56</v>
      </c>
      <c r="AA407" s="122" t="s">
        <v>73</v>
      </c>
      <c r="AB407" s="122" t="s">
        <v>204</v>
      </c>
      <c r="AC407" s="122" t="s">
        <v>506</v>
      </c>
    </row>
    <row r="408" spans="1:29" x14ac:dyDescent="0.35">
      <c r="A408" s="147"/>
      <c r="B408" s="122" t="s">
        <v>348</v>
      </c>
      <c r="C408" s="122">
        <v>1.0902430594344164E-3</v>
      </c>
      <c r="D408" s="122">
        <v>-1.6353645891516245E-4</v>
      </c>
      <c r="E408" s="122">
        <v>7.6311881817276459E-4</v>
      </c>
      <c r="F408" s="122">
        <v>-3.8155940908638231E-5</v>
      </c>
      <c r="G408" s="122">
        <v>3.6264505802320927E-3</v>
      </c>
      <c r="H408" s="122">
        <v>1.6256502601040416E-3</v>
      </c>
      <c r="I408" s="122">
        <v>4.0016006402561026E-3</v>
      </c>
      <c r="J408" s="122">
        <v>1.0618078130184294E-3</v>
      </c>
      <c r="K408" s="122">
        <v>4.6955202776046354E-3</v>
      </c>
      <c r="L408" s="122">
        <v>0</v>
      </c>
      <c r="M408" s="122">
        <v>3.070434634345955E-5</v>
      </c>
      <c r="N408" s="122">
        <v>1.6693403395342143E-2</v>
      </c>
      <c r="P408" s="122">
        <v>2023</v>
      </c>
      <c r="Q408" s="122" t="s">
        <v>375</v>
      </c>
      <c r="R408" s="122">
        <v>1.0347449498978036E-3</v>
      </c>
      <c r="S408" s="122">
        <v>-1.0336086682377807E-4</v>
      </c>
      <c r="T408" s="122">
        <v>3.4491498329926784E-4</v>
      </c>
      <c r="U408" s="122">
        <v>-3.4491498329926788E-5</v>
      </c>
      <c r="V408" s="122">
        <v>1.0654632223259673E-3</v>
      </c>
      <c r="W408" s="122">
        <v>4.305425874053325E-4</v>
      </c>
      <c r="X408" s="122">
        <v>1.7869725535414797E-4</v>
      </c>
      <c r="Y408" s="122">
        <v>2.0608228308229173E-3</v>
      </c>
      <c r="Z408" s="122">
        <v>5.1168445173227313E-3</v>
      </c>
      <c r="AA408" s="122">
        <v>0</v>
      </c>
      <c r="AB408" s="122">
        <v>1.829443359540834E-3</v>
      </c>
      <c r="AC408" s="122">
        <v>1.1923621340815298E-2</v>
      </c>
    </row>
    <row r="409" spans="1:29" x14ac:dyDescent="0.35">
      <c r="A409" s="147"/>
      <c r="B409" s="122" t="s">
        <v>337</v>
      </c>
      <c r="C409" s="122">
        <v>2.1696909640280381E-3</v>
      </c>
      <c r="D409" s="122">
        <v>-1.1028374067486764E-4</v>
      </c>
      <c r="E409" s="122">
        <v>7.6311881817276459E-4</v>
      </c>
      <c r="F409" s="122">
        <v>-3.8155940908638231E-5</v>
      </c>
      <c r="G409" s="122">
        <v>1.6256502601040416E-3</v>
      </c>
      <c r="H409" s="122">
        <v>3.235203975384487E-3</v>
      </c>
      <c r="I409" s="122">
        <v>1.7507002801120447E-3</v>
      </c>
      <c r="J409" s="122">
        <v>1.1281708013320809E-3</v>
      </c>
      <c r="K409" s="122">
        <v>5.9810797503883975E-3</v>
      </c>
      <c r="L409" s="122">
        <v>3.9112072151960102E-4</v>
      </c>
      <c r="M409" s="122">
        <v>3.2623367989925765E-5</v>
      </c>
      <c r="N409" s="122">
        <v>1.6928919257447876E-2</v>
      </c>
      <c r="Q409" s="122" t="s">
        <v>371</v>
      </c>
      <c r="R409" s="122">
        <v>1.0347449498978036E-3</v>
      </c>
      <c r="S409" s="122">
        <v>-1.0336086682377807E-4</v>
      </c>
      <c r="T409" s="122">
        <v>3.4491498329926784E-4</v>
      </c>
      <c r="U409" s="122">
        <v>-3.4491498329926788E-5</v>
      </c>
      <c r="V409" s="122">
        <v>1.0654632223259673E-3</v>
      </c>
      <c r="W409" s="122">
        <v>4.305425874053325E-4</v>
      </c>
      <c r="X409" s="122">
        <v>1.7869725535414797E-4</v>
      </c>
      <c r="Y409" s="122">
        <v>4.5972662777521807E-3</v>
      </c>
      <c r="Z409" s="122">
        <v>6.934951781538197E-3</v>
      </c>
      <c r="AA409" s="122">
        <v>0</v>
      </c>
      <c r="AB409" s="122">
        <v>1.7360815489011045E-3</v>
      </c>
      <c r="AC409" s="122">
        <v>1.6184810241320298E-2</v>
      </c>
    </row>
    <row r="410" spans="1:29" x14ac:dyDescent="0.35">
      <c r="A410" s="147"/>
      <c r="B410" s="122" t="s">
        <v>344</v>
      </c>
      <c r="C410" s="122">
        <v>1.0902430594344164E-3</v>
      </c>
      <c r="D410" s="122">
        <v>-1.6353645891516245E-4</v>
      </c>
      <c r="E410" s="122">
        <v>5.087458787818432E-4</v>
      </c>
      <c r="F410" s="122">
        <v>-2.5437293939092156E-5</v>
      </c>
      <c r="G410" s="122">
        <v>1.525610244097639E-3</v>
      </c>
      <c r="H410" s="122">
        <v>1.6256502601040416E-3</v>
      </c>
      <c r="I410" s="122">
        <v>1.6256502601040416E-3</v>
      </c>
      <c r="J410" s="122">
        <v>1.0618078130184294E-3</v>
      </c>
      <c r="K410" s="122">
        <v>9.8501076864698552E-3</v>
      </c>
      <c r="L410" s="122">
        <v>0</v>
      </c>
      <c r="M410" s="122">
        <v>3.070434634345955E-5</v>
      </c>
      <c r="N410" s="122">
        <v>1.7129545795499471E-2</v>
      </c>
      <c r="Q410" s="122" t="s">
        <v>343</v>
      </c>
      <c r="R410" s="122">
        <v>7.6317014160409149E-4</v>
      </c>
      <c r="S410" s="122">
        <v>-1.1346797345547289E-4</v>
      </c>
      <c r="T410" s="122">
        <v>5.087458787818432E-4</v>
      </c>
      <c r="U410" s="122">
        <v>-2.5437293939092156E-5</v>
      </c>
      <c r="V410" s="122">
        <v>1.525610244097639E-3</v>
      </c>
      <c r="W410" s="122">
        <v>2.6260504201680674E-3</v>
      </c>
      <c r="X410" s="122">
        <v>1.6256502601040416E-3</v>
      </c>
      <c r="Y410" s="122">
        <v>2.3018816718401642E-3</v>
      </c>
      <c r="Z410" s="122">
        <v>1.361627399540217E-2</v>
      </c>
      <c r="AA410" s="122">
        <v>0</v>
      </c>
      <c r="AB410" s="122">
        <v>8.6996317577796474E-4</v>
      </c>
      <c r="AC410" s="122">
        <v>2.3698440520381413E-2</v>
      </c>
    </row>
    <row r="411" spans="1:29" x14ac:dyDescent="0.35">
      <c r="A411" s="147"/>
      <c r="B411" s="122" t="s">
        <v>352</v>
      </c>
      <c r="C411" s="122">
        <v>8.7219444754753307E-4</v>
      </c>
      <c r="D411" s="122">
        <v>-1.3082916713212997E-4</v>
      </c>
      <c r="E411" s="122">
        <v>5.0874587878184309E-4</v>
      </c>
      <c r="F411" s="122">
        <v>-2.5437293939092159E-5</v>
      </c>
      <c r="G411" s="122">
        <v>1.3005202080832333E-3</v>
      </c>
      <c r="H411" s="122">
        <v>1.3005202080832333E-3</v>
      </c>
      <c r="I411" s="122">
        <v>1.4005602240896359E-3</v>
      </c>
      <c r="J411" s="122">
        <v>8.4944625041474342E-4</v>
      </c>
      <c r="K411" s="122">
        <v>1.1869814287170643E-2</v>
      </c>
      <c r="L411" s="122">
        <v>0</v>
      </c>
      <c r="M411" s="122">
        <v>2.4563477074767639E-5</v>
      </c>
      <c r="N411" s="122">
        <v>1.7970098520174407E-2</v>
      </c>
      <c r="Q411" s="122" t="s">
        <v>361</v>
      </c>
      <c r="R411" s="122">
        <v>6.4495368251871292E-3</v>
      </c>
      <c r="S411" s="122">
        <v>-1.6030702191455165E-3</v>
      </c>
      <c r="T411" s="122">
        <v>1.552776665375814E-3</v>
      </c>
      <c r="U411" s="122">
        <v>-3.8819416634395349E-4</v>
      </c>
      <c r="V411" s="122">
        <v>2.6666666666666665E-2</v>
      </c>
      <c r="W411" s="122">
        <v>7.619047619047619E-3</v>
      </c>
      <c r="X411" s="122">
        <v>4.4000000000000003E-3</v>
      </c>
      <c r="Y411" s="122">
        <v>7.7725726298020935E-3</v>
      </c>
      <c r="Z411" s="122">
        <v>3.5419879251199486E-2</v>
      </c>
      <c r="AA411" s="122">
        <v>0</v>
      </c>
      <c r="AB411" s="122">
        <v>2.9375323900042061E-3</v>
      </c>
      <c r="AC411" s="122">
        <v>9.0826747661793536E-2</v>
      </c>
    </row>
    <row r="412" spans="1:29" x14ac:dyDescent="0.35">
      <c r="A412" s="147"/>
      <c r="B412" s="122" t="s">
        <v>340</v>
      </c>
      <c r="C412" s="122">
        <v>1.0902430594344164E-3</v>
      </c>
      <c r="D412" s="122">
        <v>-1.6353645891516245E-4</v>
      </c>
      <c r="E412" s="122">
        <v>1.0174917575636864E-3</v>
      </c>
      <c r="F412" s="122">
        <v>-5.0874587878184312E-5</v>
      </c>
      <c r="G412" s="122">
        <v>1.5506202480992397E-3</v>
      </c>
      <c r="H412" s="122">
        <v>1.6256502601040416E-3</v>
      </c>
      <c r="I412" s="122">
        <v>1.6256502601040416E-3</v>
      </c>
      <c r="J412" s="122">
        <v>1.0618078130184294E-3</v>
      </c>
      <c r="K412" s="122">
        <v>1.0601523517690763E-2</v>
      </c>
      <c r="L412" s="122">
        <v>0</v>
      </c>
      <c r="M412" s="122">
        <v>3.070434634345955E-5</v>
      </c>
      <c r="N412" s="122">
        <v>1.8389280215564734E-2</v>
      </c>
    </row>
    <row r="413" spans="1:29" x14ac:dyDescent="0.35">
      <c r="A413" s="147"/>
      <c r="B413" s="122" t="s">
        <v>347</v>
      </c>
      <c r="C413" s="122">
        <v>7.6317014160409149E-4</v>
      </c>
      <c r="D413" s="122">
        <v>-1.1346797345547289E-4</v>
      </c>
      <c r="E413" s="122">
        <v>7.6311881817276459E-4</v>
      </c>
      <c r="F413" s="122">
        <v>-3.8155940908638231E-5</v>
      </c>
      <c r="G413" s="122">
        <v>3.6264505802320927E-3</v>
      </c>
      <c r="H413" s="122">
        <v>2.6260504201680674E-3</v>
      </c>
      <c r="I413" s="122">
        <v>4.0016006402561026E-3</v>
      </c>
      <c r="J413" s="122">
        <v>1.9863208475390157E-3</v>
      </c>
      <c r="K413" s="122">
        <v>5.6627521188012675E-3</v>
      </c>
      <c r="L413" s="122">
        <v>0</v>
      </c>
      <c r="M413" s="122">
        <v>8.6996317577796474E-4</v>
      </c>
      <c r="N413" s="122">
        <v>2.0147802828187254E-2</v>
      </c>
    </row>
    <row r="414" spans="1:29" x14ac:dyDescent="0.35">
      <c r="A414" s="147"/>
      <c r="B414" s="122" t="s">
        <v>333</v>
      </c>
      <c r="C414" s="122">
        <v>2.0676718491395704E-3</v>
      </c>
      <c r="D414" s="122">
        <v>-1.0351994625618128E-4</v>
      </c>
      <c r="E414" s="122">
        <v>6.8982996659853576E-5</v>
      </c>
      <c r="F414" s="122">
        <v>-6.8982996659853564E-6</v>
      </c>
      <c r="G414" s="122">
        <v>1.0654632223259673E-3</v>
      </c>
      <c r="H414" s="122">
        <v>2.9878618113912231E-4</v>
      </c>
      <c r="I414" s="122">
        <v>8.6011184229469056E-5</v>
      </c>
      <c r="J414" s="122">
        <v>9.2128900440359533E-3</v>
      </c>
      <c r="K414" s="122">
        <v>6.0945448314446739E-3</v>
      </c>
      <c r="L414" s="122">
        <v>1.1258298482098843E-3</v>
      </c>
      <c r="M414" s="122">
        <v>2.4772393588019895E-4</v>
      </c>
      <c r="N414" s="122">
        <v>2.0157485847142526E-2</v>
      </c>
    </row>
    <row r="415" spans="1:29" x14ac:dyDescent="0.35">
      <c r="A415" s="147"/>
      <c r="B415" s="122" t="s">
        <v>324</v>
      </c>
      <c r="C415" s="122">
        <v>2.0676718491395704E-3</v>
      </c>
      <c r="D415" s="122">
        <v>-1.0351994625618128E-4</v>
      </c>
      <c r="E415" s="122">
        <v>6.8982996659853576E-5</v>
      </c>
      <c r="F415" s="122">
        <v>-6.8982996659853564E-6</v>
      </c>
      <c r="G415" s="122">
        <v>1.0654632223259673E-3</v>
      </c>
      <c r="H415" s="122">
        <v>2.9878618113912231E-4</v>
      </c>
      <c r="I415" s="122">
        <v>8.9502842587904882E-5</v>
      </c>
      <c r="J415" s="122">
        <v>9.2128900440359533E-3</v>
      </c>
      <c r="K415" s="122">
        <v>6.0961879647898221E-3</v>
      </c>
      <c r="L415" s="122">
        <v>1.1261333800757934E-3</v>
      </c>
      <c r="M415" s="122">
        <v>2.4772393588019895E-4</v>
      </c>
      <c r="N415" s="122">
        <v>2.016292417071202E-2</v>
      </c>
    </row>
    <row r="416" spans="1:29" x14ac:dyDescent="0.35">
      <c r="A416" s="147"/>
      <c r="B416" s="122" t="s">
        <v>349</v>
      </c>
      <c r="C416" s="122">
        <v>2.1696909640280381E-3</v>
      </c>
      <c r="D416" s="122">
        <v>-1.1028374067486764E-4</v>
      </c>
      <c r="E416" s="122">
        <v>7.6311881817276459E-4</v>
      </c>
      <c r="F416" s="122">
        <v>-3.8155940908638231E-5</v>
      </c>
      <c r="G416" s="122">
        <v>3.6264505802320927E-3</v>
      </c>
      <c r="H416" s="122">
        <v>3.235203975384487E-3</v>
      </c>
      <c r="I416" s="122">
        <v>4.0016006402561026E-3</v>
      </c>
      <c r="J416" s="122">
        <v>1.1281708013320809E-3</v>
      </c>
      <c r="K416" s="122">
        <v>5.7885066351891553E-3</v>
      </c>
      <c r="L416" s="122">
        <v>5.475134085884438E-4</v>
      </c>
      <c r="M416" s="122">
        <v>3.2623367989925765E-5</v>
      </c>
      <c r="N416" s="122">
        <v>2.1144439509589583E-2</v>
      </c>
    </row>
    <row r="417" spans="1:14" x14ac:dyDescent="0.35">
      <c r="A417" s="147"/>
      <c r="B417" s="122" t="s">
        <v>338</v>
      </c>
      <c r="C417" s="122">
        <v>2.1632138711235615E-3</v>
      </c>
      <c r="D417" s="122">
        <v>-1.0931217673919614E-4</v>
      </c>
      <c r="E417" s="122">
        <v>7.6311881817276459E-4</v>
      </c>
      <c r="F417" s="122">
        <v>-3.8155940908638231E-5</v>
      </c>
      <c r="G417" s="122">
        <v>1.6256502601040416E-3</v>
      </c>
      <c r="H417" s="122">
        <v>3.4736649752972778E-3</v>
      </c>
      <c r="I417" s="122">
        <v>1.7507002801120447E-3</v>
      </c>
      <c r="J417" s="122">
        <v>3.6471540369930736E-3</v>
      </c>
      <c r="K417" s="122">
        <v>7.552263897556661E-3</v>
      </c>
      <c r="L417" s="122">
        <v>2.4411358052708367E-4</v>
      </c>
      <c r="M417" s="122">
        <v>7.390092301741751E-5</v>
      </c>
      <c r="N417" s="122">
        <v>2.1146312525256093E-2</v>
      </c>
    </row>
    <row r="418" spans="1:14" x14ac:dyDescent="0.35">
      <c r="A418" s="147"/>
      <c r="B418" s="122" t="s">
        <v>332</v>
      </c>
      <c r="C418" s="122">
        <v>2.0678991054715748E-3</v>
      </c>
      <c r="D418" s="122">
        <v>-1.0354267188938173E-4</v>
      </c>
      <c r="E418" s="122">
        <v>6.8982996659853576E-5</v>
      </c>
      <c r="F418" s="122">
        <v>-6.8982996659853564E-6</v>
      </c>
      <c r="G418" s="122">
        <v>1.0654632223259673E-3</v>
      </c>
      <c r="H418" s="122">
        <v>2.9878618113912231E-4</v>
      </c>
      <c r="I418" s="122">
        <v>8.6011184229469056E-5</v>
      </c>
      <c r="J418" s="122">
        <v>1.0440356851305966E-2</v>
      </c>
      <c r="K418" s="122">
        <v>6.6700729733000976E-3</v>
      </c>
      <c r="L418" s="122">
        <v>1.5741097487084171E-3</v>
      </c>
      <c r="M418" s="122">
        <v>2.4304989935415751E-4</v>
      </c>
      <c r="N418" s="122">
        <v>2.2404291190939257E-2</v>
      </c>
    </row>
    <row r="419" spans="1:14" x14ac:dyDescent="0.35">
      <c r="A419" s="147"/>
      <c r="B419" s="122" t="s">
        <v>323</v>
      </c>
      <c r="C419" s="122">
        <v>2.0678991054715748E-3</v>
      </c>
      <c r="D419" s="122">
        <v>-1.0354267188938173E-4</v>
      </c>
      <c r="E419" s="122">
        <v>6.8982996659853576E-5</v>
      </c>
      <c r="F419" s="122">
        <v>-6.8982996659853564E-6</v>
      </c>
      <c r="G419" s="122">
        <v>1.0654632223259673E-3</v>
      </c>
      <c r="H419" s="122">
        <v>2.9878618113912231E-4</v>
      </c>
      <c r="I419" s="122">
        <v>8.9502842587904882E-5</v>
      </c>
      <c r="J419" s="122">
        <v>1.0440356851305966E-2</v>
      </c>
      <c r="K419" s="122">
        <v>6.6717161066452441E-3</v>
      </c>
      <c r="L419" s="122">
        <v>1.5744975214100603E-3</v>
      </c>
      <c r="M419" s="122">
        <v>2.4304989935415751E-4</v>
      </c>
      <c r="N419" s="122">
        <v>2.2409813755344482E-2</v>
      </c>
    </row>
    <row r="420" spans="1:14" x14ac:dyDescent="0.35">
      <c r="A420" s="147"/>
      <c r="B420" s="122" t="s">
        <v>343</v>
      </c>
      <c r="C420" s="122">
        <v>7.6317014160409149E-4</v>
      </c>
      <c r="D420" s="122">
        <v>-1.1346797345547289E-4</v>
      </c>
      <c r="E420" s="122">
        <v>5.087458787818432E-4</v>
      </c>
      <c r="F420" s="122">
        <v>-2.5437293939092156E-5</v>
      </c>
      <c r="G420" s="122">
        <v>1.525610244097639E-3</v>
      </c>
      <c r="H420" s="122">
        <v>2.6260504201680674E-3</v>
      </c>
      <c r="I420" s="122">
        <v>1.6256502601040416E-3</v>
      </c>
      <c r="J420" s="122">
        <v>1.9863208475390157E-3</v>
      </c>
      <c r="K420" s="122">
        <v>1.3192239137747501E-2</v>
      </c>
      <c r="L420" s="122">
        <v>0</v>
      </c>
      <c r="M420" s="122">
        <v>8.6996317577796474E-4</v>
      </c>
      <c r="N420" s="122">
        <v>2.2958844838425599E-2</v>
      </c>
    </row>
    <row r="421" spans="1:14" x14ac:dyDescent="0.35">
      <c r="A421" s="147"/>
      <c r="B421" s="122" t="s">
        <v>351</v>
      </c>
      <c r="C421" s="122">
        <v>6.1053611328327313E-4</v>
      </c>
      <c r="D421" s="122">
        <v>-9.0774378764378309E-5</v>
      </c>
      <c r="E421" s="122">
        <v>5.0874587878184309E-4</v>
      </c>
      <c r="F421" s="122">
        <v>-2.5437293939092159E-5</v>
      </c>
      <c r="G421" s="122">
        <v>1.3005202080832333E-3</v>
      </c>
      <c r="H421" s="122">
        <v>2.1008403361344541E-3</v>
      </c>
      <c r="I421" s="122">
        <v>1.4005602240896359E-3</v>
      </c>
      <c r="J421" s="122">
        <v>1.5890566780312125E-3</v>
      </c>
      <c r="K421" s="122">
        <v>1.5709379256777983E-2</v>
      </c>
      <c r="L421" s="122">
        <v>0</v>
      </c>
      <c r="M421" s="122">
        <v>6.959705406223717E-4</v>
      </c>
      <c r="N421" s="122">
        <v>2.3799397563100535E-2</v>
      </c>
    </row>
    <row r="422" spans="1:14" x14ac:dyDescent="0.35">
      <c r="A422" s="147"/>
      <c r="B422" s="122" t="s">
        <v>345</v>
      </c>
      <c r="C422" s="122">
        <v>2.1696909640280381E-3</v>
      </c>
      <c r="D422" s="122">
        <v>-1.1028374067486764E-4</v>
      </c>
      <c r="E422" s="122">
        <v>5.087458787818432E-4</v>
      </c>
      <c r="F422" s="122">
        <v>-2.5437293939092156E-5</v>
      </c>
      <c r="G422" s="122">
        <v>1.525610244097639E-3</v>
      </c>
      <c r="H422" s="122">
        <v>3.235203975384487E-3</v>
      </c>
      <c r="I422" s="122">
        <v>1.6256502601040416E-3</v>
      </c>
      <c r="J422" s="122">
        <v>1.1281708013320809E-3</v>
      </c>
      <c r="K422" s="122">
        <v>1.3626765904194938E-2</v>
      </c>
      <c r="L422" s="122">
        <v>3.7301652928277071E-4</v>
      </c>
      <c r="M422" s="122">
        <v>3.2623367989925765E-5</v>
      </c>
      <c r="N422" s="122">
        <v>2.4089756890581803E-2</v>
      </c>
    </row>
    <row r="423" spans="1:14" x14ac:dyDescent="0.35">
      <c r="A423" s="147"/>
      <c r="B423" s="122" t="s">
        <v>339</v>
      </c>
      <c r="C423" s="122">
        <v>7.6317014160409149E-4</v>
      </c>
      <c r="D423" s="122">
        <v>-1.1346797345547289E-4</v>
      </c>
      <c r="E423" s="122">
        <v>1.0174917575636864E-3</v>
      </c>
      <c r="F423" s="122">
        <v>-5.0874587878184312E-5</v>
      </c>
      <c r="G423" s="122">
        <v>1.5506202480992397E-3</v>
      </c>
      <c r="H423" s="122">
        <v>2.6260504201680674E-3</v>
      </c>
      <c r="I423" s="122">
        <v>1.6256502601040416E-3</v>
      </c>
      <c r="J423" s="122">
        <v>1.9863208475390157E-3</v>
      </c>
      <c r="K423" s="122">
        <v>1.3943654968968412E-2</v>
      </c>
      <c r="L423" s="122">
        <v>0</v>
      </c>
      <c r="M423" s="122">
        <v>8.6996317577796474E-4</v>
      </c>
      <c r="N423" s="122">
        <v>2.4218579258490865E-2</v>
      </c>
    </row>
    <row r="424" spans="1:14" x14ac:dyDescent="0.35">
      <c r="A424" s="147"/>
      <c r="B424" s="122" t="s">
        <v>327</v>
      </c>
      <c r="C424" s="122">
        <v>2.0676718491395704E-3</v>
      </c>
      <c r="D424" s="122">
        <v>-1.0351994625618128E-4</v>
      </c>
      <c r="E424" s="122">
        <v>3.4491498329926784E-4</v>
      </c>
      <c r="F424" s="122">
        <v>-3.4491498329926788E-5</v>
      </c>
      <c r="G424" s="122">
        <v>1.0654632223259673E-3</v>
      </c>
      <c r="H424" s="122">
        <v>2.9878618113912231E-4</v>
      </c>
      <c r="I424" s="122">
        <v>1.7869725535414797E-4</v>
      </c>
      <c r="J424" s="122">
        <v>9.2128900440359533E-3</v>
      </c>
      <c r="K424" s="122">
        <v>9.9327397382310504E-3</v>
      </c>
      <c r="L424" s="122">
        <v>1.1602727202243267E-3</v>
      </c>
      <c r="M424" s="122">
        <v>2.4772393588019895E-4</v>
      </c>
      <c r="N424" s="122">
        <v>2.4371148485043501E-2</v>
      </c>
    </row>
    <row r="425" spans="1:14" x14ac:dyDescent="0.35">
      <c r="A425" s="147"/>
      <c r="B425" s="122" t="s">
        <v>350</v>
      </c>
      <c r="C425" s="122">
        <v>2.1632138711235615E-3</v>
      </c>
      <c r="D425" s="122">
        <v>-1.0931217673919614E-4</v>
      </c>
      <c r="E425" s="122">
        <v>7.6311881817276459E-4</v>
      </c>
      <c r="F425" s="122">
        <v>-3.8155940908638231E-5</v>
      </c>
      <c r="G425" s="122">
        <v>3.6264505802320927E-3</v>
      </c>
      <c r="H425" s="122">
        <v>3.4736649752972778E-3</v>
      </c>
      <c r="I425" s="122">
        <v>4.0016006402561026E-3</v>
      </c>
      <c r="J425" s="122">
        <v>3.6471540369930736E-3</v>
      </c>
      <c r="K425" s="122">
        <v>6.8747574036017826E-3</v>
      </c>
      <c r="L425" s="122">
        <v>3.2141722925930691E-4</v>
      </c>
      <c r="M425" s="122">
        <v>7.390092301741751E-5</v>
      </c>
      <c r="N425" s="122">
        <v>2.4797810360305546E-2</v>
      </c>
    </row>
    <row r="426" spans="1:14" x14ac:dyDescent="0.35">
      <c r="A426" s="147"/>
      <c r="B426" s="122" t="s">
        <v>353</v>
      </c>
      <c r="C426" s="122">
        <v>1.7357527712224307E-3</v>
      </c>
      <c r="D426" s="122">
        <v>-8.822699253989411E-5</v>
      </c>
      <c r="E426" s="122">
        <v>5.0874587878184309E-4</v>
      </c>
      <c r="F426" s="122">
        <v>-2.5437293939092159E-5</v>
      </c>
      <c r="G426" s="122">
        <v>1.3005202080832333E-3</v>
      </c>
      <c r="H426" s="122">
        <v>2.5881631803075897E-3</v>
      </c>
      <c r="I426" s="122">
        <v>1.4005602240896359E-3</v>
      </c>
      <c r="J426" s="122">
        <v>9.0253664106566486E-4</v>
      </c>
      <c r="K426" s="122">
        <v>1.620857977451062E-2</v>
      </c>
      <c r="L426" s="122">
        <v>2.4536829250527796E-4</v>
      </c>
      <c r="M426" s="122">
        <v>2.6098694391940615E-5</v>
      </c>
      <c r="N426" s="122">
        <v>2.4802661378479252E-2</v>
      </c>
    </row>
    <row r="427" spans="1:14" x14ac:dyDescent="0.35">
      <c r="A427" s="147"/>
      <c r="B427" s="122" t="s">
        <v>341</v>
      </c>
      <c r="C427" s="122">
        <v>2.1696909640280381E-3</v>
      </c>
      <c r="D427" s="122">
        <v>-1.1028374067486764E-4</v>
      </c>
      <c r="E427" s="122">
        <v>1.0174917575636864E-3</v>
      </c>
      <c r="F427" s="122">
        <v>-5.0874587878184312E-5</v>
      </c>
      <c r="G427" s="122">
        <v>1.5506202480992397E-3</v>
      </c>
      <c r="H427" s="122">
        <v>3.235203975384487E-3</v>
      </c>
      <c r="I427" s="122">
        <v>1.6256502601040416E-3</v>
      </c>
      <c r="J427" s="122">
        <v>1.1281708013320809E-3</v>
      </c>
      <c r="K427" s="122">
        <v>1.4378181735415848E-2</v>
      </c>
      <c r="L427" s="122">
        <v>3.9358564504954688E-4</v>
      </c>
      <c r="M427" s="122">
        <v>3.2623367989925765E-5</v>
      </c>
      <c r="N427" s="122">
        <v>2.5370060426413845E-2</v>
      </c>
    </row>
    <row r="428" spans="1:14" x14ac:dyDescent="0.35">
      <c r="A428" s="147"/>
      <c r="B428" s="122" t="s">
        <v>330</v>
      </c>
      <c r="C428" s="122">
        <v>2.0676718491395704E-3</v>
      </c>
      <c r="D428" s="122">
        <v>-1.0351994625618128E-4</v>
      </c>
      <c r="E428" s="122">
        <v>6.8982996659853576E-5</v>
      </c>
      <c r="F428" s="122">
        <v>-6.8982996659853564E-6</v>
      </c>
      <c r="G428" s="122">
        <v>1.0654632223259673E-3</v>
      </c>
      <c r="H428" s="122">
        <v>2.9878618113912231E-4</v>
      </c>
      <c r="I428" s="122">
        <v>8.6011184229469056E-5</v>
      </c>
      <c r="J428" s="122">
        <v>9.2128900440359533E-3</v>
      </c>
      <c r="K428" s="122">
        <v>1.1954684092449177E-2</v>
      </c>
      <c r="L428" s="122">
        <v>1.1258298482098843E-3</v>
      </c>
      <c r="M428" s="122">
        <v>2.4772393588019895E-4</v>
      </c>
      <c r="N428" s="122">
        <v>2.6017625108147029E-2</v>
      </c>
    </row>
    <row r="429" spans="1:14" x14ac:dyDescent="0.35">
      <c r="A429" s="147"/>
      <c r="B429" s="122" t="s">
        <v>326</v>
      </c>
      <c r="C429" s="122">
        <v>2.0678991054715748E-3</v>
      </c>
      <c r="D429" s="122">
        <v>-1.0354267188938173E-4</v>
      </c>
      <c r="E429" s="122">
        <v>3.4491498329926784E-4</v>
      </c>
      <c r="F429" s="122">
        <v>-3.4491498329926788E-5</v>
      </c>
      <c r="G429" s="122">
        <v>1.0654632223259673E-3</v>
      </c>
      <c r="H429" s="122">
        <v>2.9878618113912231E-4</v>
      </c>
      <c r="I429" s="122">
        <v>1.7869725535414797E-4</v>
      </c>
      <c r="J429" s="122">
        <v>1.0440356851305966E-2</v>
      </c>
      <c r="K429" s="122">
        <v>1.0842877264886136E-2</v>
      </c>
      <c r="L429" s="122">
        <v>1.6181117367482459E-3</v>
      </c>
      <c r="M429" s="122">
        <v>2.4304989935415751E-4</v>
      </c>
      <c r="N429" s="122">
        <v>2.6962122329665272E-2</v>
      </c>
    </row>
    <row r="430" spans="1:14" x14ac:dyDescent="0.35">
      <c r="A430" s="147"/>
      <c r="B430" s="122" t="s">
        <v>329</v>
      </c>
      <c r="C430" s="122">
        <v>2.0678991054715748E-3</v>
      </c>
      <c r="D430" s="122">
        <v>-1.0354267188938173E-4</v>
      </c>
      <c r="E430" s="122">
        <v>6.8982996659853576E-5</v>
      </c>
      <c r="F430" s="122">
        <v>-6.8982996659853564E-6</v>
      </c>
      <c r="G430" s="122">
        <v>1.0654632223259673E-3</v>
      </c>
      <c r="H430" s="122">
        <v>2.9878618113912231E-4</v>
      </c>
      <c r="I430" s="122">
        <v>8.6011184229469056E-5</v>
      </c>
      <c r="J430" s="122">
        <v>1.0440356851305966E-2</v>
      </c>
      <c r="K430" s="122">
        <v>1.308360467839635E-2</v>
      </c>
      <c r="L430" s="122">
        <v>1.5741097487084171E-3</v>
      </c>
      <c r="M430" s="122">
        <v>2.4304989935415751E-4</v>
      </c>
      <c r="N430" s="122">
        <v>2.881782289603551E-2</v>
      </c>
    </row>
    <row r="431" spans="1:14" x14ac:dyDescent="0.35">
      <c r="A431" s="147"/>
      <c r="B431" s="122" t="s">
        <v>346</v>
      </c>
      <c r="C431" s="122">
        <v>2.1632138711235615E-3</v>
      </c>
      <c r="D431" s="122">
        <v>-1.0931217673919614E-4</v>
      </c>
      <c r="E431" s="122">
        <v>5.087458787818432E-4</v>
      </c>
      <c r="F431" s="122">
        <v>-2.5437293939092156E-5</v>
      </c>
      <c r="G431" s="122">
        <v>1.525610244097639E-3</v>
      </c>
      <c r="H431" s="122">
        <v>3.4736649752972778E-3</v>
      </c>
      <c r="I431" s="122">
        <v>1.6256502601040416E-3</v>
      </c>
      <c r="J431" s="122">
        <v>3.6471540369930736E-3</v>
      </c>
      <c r="K431" s="122">
        <v>1.7380150255763571E-2</v>
      </c>
      <c r="L431" s="122">
        <v>2.3516482375663186E-4</v>
      </c>
      <c r="M431" s="122">
        <v>7.390092301741751E-5</v>
      </c>
      <c r="N431" s="122">
        <v>3.0498505798256768E-2</v>
      </c>
    </row>
    <row r="432" spans="1:14" x14ac:dyDescent="0.35">
      <c r="A432" s="147"/>
      <c r="B432" s="122" t="s">
        <v>354</v>
      </c>
      <c r="C432" s="122">
        <v>1.7305710968988492E-3</v>
      </c>
      <c r="D432" s="122">
        <v>-8.7449741391356912E-5</v>
      </c>
      <c r="E432" s="122">
        <v>5.0874587878184309E-4</v>
      </c>
      <c r="F432" s="122">
        <v>-2.5437293939092159E-5</v>
      </c>
      <c r="G432" s="122">
        <v>1.3005202080832333E-3</v>
      </c>
      <c r="H432" s="122">
        <v>2.7789319802378224E-3</v>
      </c>
      <c r="I432" s="122">
        <v>1.4005602240896359E-3</v>
      </c>
      <c r="J432" s="122">
        <v>2.917723229594459E-3</v>
      </c>
      <c r="K432" s="122">
        <v>2.0520607378405747E-2</v>
      </c>
      <c r="L432" s="122">
        <v>1.5411827403837008E-4</v>
      </c>
      <c r="M432" s="122">
        <v>5.9120738413934012E-5</v>
      </c>
      <c r="N432" s="122">
        <v>3.125801197321345E-2</v>
      </c>
    </row>
    <row r="433" spans="1:14" x14ac:dyDescent="0.35">
      <c r="A433" s="147"/>
      <c r="B433" s="122" t="s">
        <v>342</v>
      </c>
      <c r="C433" s="122">
        <v>2.1632138711235615E-3</v>
      </c>
      <c r="D433" s="122">
        <v>-1.0931217673919614E-4</v>
      </c>
      <c r="E433" s="122">
        <v>1.0174917575636864E-3</v>
      </c>
      <c r="F433" s="122">
        <v>-5.0874587878184312E-5</v>
      </c>
      <c r="G433" s="122">
        <v>1.5506202480992397E-3</v>
      </c>
      <c r="H433" s="122">
        <v>3.4736649752972778E-3</v>
      </c>
      <c r="I433" s="122">
        <v>1.6256502601040416E-3</v>
      </c>
      <c r="J433" s="122">
        <v>3.6471540369930736E-3</v>
      </c>
      <c r="K433" s="122">
        <v>1.8131566086984477E-2</v>
      </c>
      <c r="L433" s="122">
        <v>2.4533197242431436E-4</v>
      </c>
      <c r="M433" s="122">
        <v>7.390092301741751E-5</v>
      </c>
      <c r="N433" s="122">
        <v>3.1768407366989708E-2</v>
      </c>
    </row>
    <row r="434" spans="1:14" x14ac:dyDescent="0.35">
      <c r="A434" s="147"/>
      <c r="B434" s="122" t="s">
        <v>334</v>
      </c>
      <c r="C434" s="122">
        <v>1.3444866658711308E-3</v>
      </c>
      <c r="D434" s="122">
        <v>-6.7337961459558828E-5</v>
      </c>
      <c r="E434" s="122">
        <v>6.8982996659853576E-5</v>
      </c>
      <c r="F434" s="122">
        <v>-6.8982996659853564E-6</v>
      </c>
      <c r="G434" s="122">
        <v>1.0654632223259673E-3</v>
      </c>
      <c r="H434" s="122">
        <v>4.305425874053325E-4</v>
      </c>
      <c r="I434" s="122">
        <v>8.6011184229469056E-5</v>
      </c>
      <c r="J434" s="122">
        <v>2.2412966844817715E-2</v>
      </c>
      <c r="K434" s="122">
        <v>1.2076452272758692E-2</v>
      </c>
      <c r="L434" s="122">
        <v>1.0692692116505108E-3</v>
      </c>
      <c r="M434" s="122">
        <v>3.1444724009633705E-4</v>
      </c>
      <c r="N434" s="122">
        <v>3.8794385964689461E-2</v>
      </c>
    </row>
    <row r="435" spans="1:14" x14ac:dyDescent="0.35">
      <c r="A435" s="147"/>
      <c r="B435" s="122" t="s">
        <v>325</v>
      </c>
      <c r="C435" s="122">
        <v>1.3444866658711308E-3</v>
      </c>
      <c r="D435" s="122">
        <v>-6.7337961459558828E-5</v>
      </c>
      <c r="E435" s="122">
        <v>6.8982996659853576E-5</v>
      </c>
      <c r="F435" s="122">
        <v>-6.8982996659853564E-6</v>
      </c>
      <c r="G435" s="122">
        <v>1.0654632223259673E-3</v>
      </c>
      <c r="H435" s="122">
        <v>4.305425874053325E-4</v>
      </c>
      <c r="I435" s="122">
        <v>8.9502842587904882E-5</v>
      </c>
      <c r="J435" s="122">
        <v>2.2412966844817715E-2</v>
      </c>
      <c r="K435" s="122">
        <v>1.2078095406103839E-2</v>
      </c>
      <c r="L435" s="122">
        <v>1.069414697415446E-3</v>
      </c>
      <c r="M435" s="122">
        <v>3.1444724009633705E-4</v>
      </c>
      <c r="N435" s="122">
        <v>3.8799666242157978E-2</v>
      </c>
    </row>
    <row r="436" spans="1:14" x14ac:dyDescent="0.35">
      <c r="A436" s="147"/>
      <c r="B436" s="122" t="s">
        <v>328</v>
      </c>
      <c r="C436" s="122">
        <v>1.3444866658711308E-3</v>
      </c>
      <c r="D436" s="122">
        <v>-6.7337961459558828E-5</v>
      </c>
      <c r="E436" s="122">
        <v>3.4491498329926784E-4</v>
      </c>
      <c r="F436" s="122">
        <v>-3.4491498329926788E-5</v>
      </c>
      <c r="G436" s="122">
        <v>1.0654632223259673E-3</v>
      </c>
      <c r="H436" s="122">
        <v>4.305425874053325E-4</v>
      </c>
      <c r="I436" s="122">
        <v>1.7869725535414797E-4</v>
      </c>
      <c r="J436" s="122">
        <v>2.2412966844817715E-2</v>
      </c>
      <c r="K436" s="122">
        <v>1.9392500343099733E-2</v>
      </c>
      <c r="L436" s="122">
        <v>1.0857780140016773E-3</v>
      </c>
      <c r="M436" s="122">
        <v>3.1444724009633705E-4</v>
      </c>
      <c r="N436" s="122">
        <v>4.6467967696481816E-2</v>
      </c>
    </row>
    <row r="437" spans="1:14" x14ac:dyDescent="0.35">
      <c r="A437" s="147"/>
      <c r="B437" s="122" t="s">
        <v>331</v>
      </c>
      <c r="C437" s="122">
        <v>1.3444866658711308E-3</v>
      </c>
      <c r="D437" s="122">
        <v>-6.7337961459558828E-5</v>
      </c>
      <c r="E437" s="122">
        <v>6.8982996659853576E-5</v>
      </c>
      <c r="F437" s="122">
        <v>-6.8982996659853564E-6</v>
      </c>
      <c r="G437" s="122">
        <v>1.0654632223259673E-3</v>
      </c>
      <c r="H437" s="122">
        <v>4.305425874053325E-4</v>
      </c>
      <c r="I437" s="122">
        <v>8.6011184229469056E-5</v>
      </c>
      <c r="J437" s="122">
        <v>2.2412966844817715E-2</v>
      </c>
      <c r="K437" s="122">
        <v>2.3688425611949754E-2</v>
      </c>
      <c r="L437" s="122">
        <v>1.0692692116505108E-3</v>
      </c>
      <c r="M437" s="122">
        <v>3.1444724009633705E-4</v>
      </c>
      <c r="N437" s="122">
        <v>5.0406359303880523E-2</v>
      </c>
    </row>
    <row r="438" spans="1:14" x14ac:dyDescent="0.35">
      <c r="A438" s="147"/>
      <c r="B438" s="122" t="s">
        <v>358</v>
      </c>
      <c r="C438" s="122">
        <v>6.1563760604058963E-3</v>
      </c>
      <c r="D438" s="122">
        <v>-1.5302033910025385E-3</v>
      </c>
      <c r="E438" s="122">
        <v>2.964391815717463E-3</v>
      </c>
      <c r="F438" s="122">
        <v>-7.4109795392936575E-4</v>
      </c>
      <c r="G438" s="122">
        <v>2.5454545454545455E-2</v>
      </c>
      <c r="H438" s="122">
        <v>7.2727272727272727E-3</v>
      </c>
      <c r="I438" s="122">
        <v>4.4000000000000003E-3</v>
      </c>
      <c r="J438" s="122">
        <v>6.7070446072256132E-3</v>
      </c>
      <c r="K438" s="122">
        <v>3.0995725591998417E-2</v>
      </c>
      <c r="L438" s="122">
        <v>0</v>
      </c>
      <c r="M438" s="122">
        <v>2.9375323900042061E-3</v>
      </c>
      <c r="N438" s="122">
        <v>8.4617041847692406E-2</v>
      </c>
    </row>
    <row r="439" spans="1:14" x14ac:dyDescent="0.35">
      <c r="A439" s="147"/>
      <c r="B439" s="122" t="s">
        <v>361</v>
      </c>
      <c r="C439" s="122">
        <v>6.4495368251871292E-3</v>
      </c>
      <c r="D439" s="122">
        <v>-1.6030702191455165E-3</v>
      </c>
      <c r="E439" s="122">
        <v>1.552776665375814E-3</v>
      </c>
      <c r="F439" s="122">
        <v>-3.8819416634395349E-4</v>
      </c>
      <c r="G439" s="122">
        <v>2.6666666666666665E-2</v>
      </c>
      <c r="H439" s="122">
        <v>7.619047619047619E-3</v>
      </c>
      <c r="I439" s="122">
        <v>4.4000000000000003E-3</v>
      </c>
      <c r="J439" s="122">
        <v>6.7070446072256132E-3</v>
      </c>
      <c r="K439" s="122">
        <v>3.4748133323923014E-2</v>
      </c>
      <c r="L439" s="122">
        <v>0</v>
      </c>
      <c r="M439" s="122">
        <v>2.9375323900042061E-3</v>
      </c>
      <c r="N439" s="122">
        <v>8.9089473711940592E-2</v>
      </c>
    </row>
    <row r="440" spans="1:14" x14ac:dyDescent="0.35">
      <c r="A440" s="147"/>
      <c r="B440" s="122" t="s">
        <v>367</v>
      </c>
      <c r="C440" s="122">
        <v>7.5244596293849832E-3</v>
      </c>
      <c r="D440" s="122">
        <v>-1.8702485890031025E-3</v>
      </c>
      <c r="E440" s="122">
        <v>2.1135015723170798E-3</v>
      </c>
      <c r="F440" s="122">
        <v>-5.2837539307926996E-4</v>
      </c>
      <c r="G440" s="122">
        <v>3.111111111111111E-2</v>
      </c>
      <c r="H440" s="122">
        <v>8.8888888888888889E-3</v>
      </c>
      <c r="I440" s="122">
        <v>4.4000000000000003E-3</v>
      </c>
      <c r="J440" s="122">
        <v>6.7070446072256132E-3</v>
      </c>
      <c r="K440" s="122">
        <v>3.3414262094814663E-2</v>
      </c>
      <c r="L440" s="122">
        <v>0</v>
      </c>
      <c r="M440" s="122">
        <v>2.9375323900042061E-3</v>
      </c>
      <c r="N440" s="122">
        <v>9.4698176311664176E-2</v>
      </c>
    </row>
    <row r="441" spans="1:14" x14ac:dyDescent="0.35">
      <c r="A441" s="147"/>
      <c r="B441" s="122" t="s">
        <v>359</v>
      </c>
      <c r="C441" s="122">
        <v>2.2614787309588272E-2</v>
      </c>
      <c r="D441" s="122">
        <v>-3.4381985932500987E-3</v>
      </c>
      <c r="E441" s="122">
        <v>2.964391815717463E-3</v>
      </c>
      <c r="F441" s="122">
        <v>-7.4109795392936575E-4</v>
      </c>
      <c r="G441" s="122">
        <v>2.5454545454545455E-2</v>
      </c>
      <c r="H441" s="122">
        <v>5.4545454545454541E-3</v>
      </c>
      <c r="I441" s="122">
        <v>4.4000000000000003E-3</v>
      </c>
      <c r="J441" s="122">
        <v>4.5138905873477273E-3</v>
      </c>
      <c r="K441" s="122">
        <v>3.5345999219999452E-2</v>
      </c>
      <c r="L441" s="122">
        <v>6.9307542201166028E-3</v>
      </c>
      <c r="M441" s="122">
        <v>1.3227196424206973E-4</v>
      </c>
      <c r="N441" s="122">
        <v>0.10363188947892303</v>
      </c>
    </row>
    <row r="442" spans="1:14" x14ac:dyDescent="0.35">
      <c r="A442" s="147"/>
      <c r="B442" s="122" t="s">
        <v>362</v>
      </c>
      <c r="C442" s="122">
        <v>2.3691681943378187E-2</v>
      </c>
      <c r="D442" s="122">
        <v>-3.6019223357858176E-3</v>
      </c>
      <c r="E442" s="122">
        <v>1.552776665375814E-3</v>
      </c>
      <c r="F442" s="122">
        <v>-3.8819416634395349E-4</v>
      </c>
      <c r="G442" s="122">
        <v>2.6666666666666665E-2</v>
      </c>
      <c r="H442" s="122">
        <v>5.7142857142857143E-3</v>
      </c>
      <c r="I442" s="122">
        <v>4.4000000000000003E-3</v>
      </c>
      <c r="J442" s="122">
        <v>4.5138905873477264E-3</v>
      </c>
      <c r="K442" s="122">
        <v>4.0006032951821188E-2</v>
      </c>
      <c r="L442" s="122">
        <v>6.999194841432535E-3</v>
      </c>
      <c r="M442" s="122">
        <v>1.3227196424206973E-4</v>
      </c>
      <c r="N442" s="122">
        <v>0.10968668483242013</v>
      </c>
    </row>
    <row r="443" spans="1:14" x14ac:dyDescent="0.35">
      <c r="A443" s="147"/>
      <c r="B443" s="122" t="s">
        <v>364</v>
      </c>
      <c r="C443" s="122">
        <v>8.6820688031365185E-3</v>
      </c>
      <c r="D443" s="122">
        <v>-2.157979141157426E-3</v>
      </c>
      <c r="E443" s="122">
        <v>2.7870350404181278E-3</v>
      </c>
      <c r="F443" s="122">
        <v>-6.9675876010453195E-4</v>
      </c>
      <c r="G443" s="122">
        <v>3.5897435897435902E-2</v>
      </c>
      <c r="H443" s="122">
        <v>1.0256410256410255E-2</v>
      </c>
      <c r="I443" s="122">
        <v>4.4000000000000003E-3</v>
      </c>
      <c r="J443" s="122">
        <v>6.7070446072256132E-3</v>
      </c>
      <c r="K443" s="122">
        <v>4.4260497647690286E-2</v>
      </c>
      <c r="L443" s="122">
        <v>0</v>
      </c>
      <c r="M443" s="122">
        <v>2.9375323900042061E-3</v>
      </c>
      <c r="N443" s="122">
        <v>0.11307328674105895</v>
      </c>
    </row>
    <row r="444" spans="1:14" x14ac:dyDescent="0.35">
      <c r="A444" s="147"/>
      <c r="B444" s="122" t="s">
        <v>368</v>
      </c>
      <c r="C444" s="122">
        <v>2.7640295600607889E-2</v>
      </c>
      <c r="D444" s="122">
        <v>-4.2022427250834543E-3</v>
      </c>
      <c r="E444" s="122">
        <v>2.1135015723170798E-3</v>
      </c>
      <c r="F444" s="122">
        <v>-5.2837539307926996E-4</v>
      </c>
      <c r="G444" s="122">
        <v>3.111111111111111E-2</v>
      </c>
      <c r="H444" s="122">
        <v>6.6666666666666662E-3</v>
      </c>
      <c r="I444" s="122">
        <v>4.4000000000000003E-3</v>
      </c>
      <c r="J444" s="122">
        <v>4.5138905873477273E-3</v>
      </c>
      <c r="K444" s="122">
        <v>4.1008426970787201E-2</v>
      </c>
      <c r="L444" s="122">
        <v>8.0410607865149808E-3</v>
      </c>
      <c r="M444" s="122">
        <v>1.3227196424206976E-4</v>
      </c>
      <c r="N444" s="122">
        <v>0.12089660714143199</v>
      </c>
    </row>
    <row r="445" spans="1:14" x14ac:dyDescent="0.35">
      <c r="A445" s="147"/>
      <c r="B445" s="122" t="s">
        <v>360</v>
      </c>
      <c r="C445" s="122">
        <v>2.2311798507511204E-2</v>
      </c>
      <c r="D445" s="122">
        <v>-3.3814651137286521E-3</v>
      </c>
      <c r="E445" s="122">
        <v>2.964391815717463E-3</v>
      </c>
      <c r="F445" s="122">
        <v>-7.4109795392936575E-4</v>
      </c>
      <c r="G445" s="122">
        <v>2.5454545454545455E-2</v>
      </c>
      <c r="H445" s="122">
        <v>9.3433449937917901E-3</v>
      </c>
      <c r="I445" s="122">
        <v>4.4000000000000003E-3</v>
      </c>
      <c r="J445" s="122">
        <v>1.6766513853443448E-2</v>
      </c>
      <c r="K445" s="122">
        <v>4.440549632941837E-2</v>
      </c>
      <c r="L445" s="122">
        <v>4.120270320078584E-3</v>
      </c>
      <c r="M445" s="122">
        <v>3.4287712042257822E-4</v>
      </c>
      <c r="N445" s="122">
        <v>0.12598667532727087</v>
      </c>
    </row>
    <row r="446" spans="1:14" x14ac:dyDescent="0.35">
      <c r="A446" s="147"/>
      <c r="B446" s="122" t="s">
        <v>363</v>
      </c>
      <c r="C446" s="122">
        <v>2.3374265103106976E-2</v>
      </c>
      <c r="D446" s="122">
        <v>-3.5424872620014453E-3</v>
      </c>
      <c r="E446" s="122">
        <v>1.552776665375814E-3</v>
      </c>
      <c r="F446" s="122">
        <v>-3.8819416634395349E-4</v>
      </c>
      <c r="G446" s="122">
        <v>2.6666666666666665E-2</v>
      </c>
      <c r="H446" s="122">
        <v>9.7882661839723516E-3</v>
      </c>
      <c r="I446" s="122">
        <v>4.4000000000000003E-3</v>
      </c>
      <c r="J446" s="122">
        <v>1.6766513853443448E-2</v>
      </c>
      <c r="K446" s="122">
        <v>5.0269023965708245E-2</v>
      </c>
      <c r="L446" s="122">
        <v>4.1617098155080079E-3</v>
      </c>
      <c r="M446" s="122">
        <v>3.4287712042257822E-4</v>
      </c>
      <c r="N446" s="122">
        <v>0.13339141794585868</v>
      </c>
    </row>
    <row r="447" spans="1:14" x14ac:dyDescent="0.35">
      <c r="A447" s="147"/>
      <c r="B447" s="122" t="s">
        <v>365</v>
      </c>
      <c r="C447" s="122">
        <v>3.1892648769932176E-2</v>
      </c>
      <c r="D447" s="122">
        <v>-4.8487416058655246E-3</v>
      </c>
      <c r="E447" s="122">
        <v>2.7870350404181278E-3</v>
      </c>
      <c r="F447" s="122">
        <v>-6.9675876010453195E-4</v>
      </c>
      <c r="G447" s="122">
        <v>3.5897435897435902E-2</v>
      </c>
      <c r="H447" s="122">
        <v>7.6923076923076927E-3</v>
      </c>
      <c r="I447" s="122">
        <v>4.4000000000000003E-3</v>
      </c>
      <c r="J447" s="122">
        <v>4.5138905873477264E-3</v>
      </c>
      <c r="K447" s="122">
        <v>5.2429230566777354E-2</v>
      </c>
      <c r="L447" s="122">
        <v>9.1726765451899117E-3</v>
      </c>
      <c r="M447" s="122">
        <v>1.3227196424206973E-4</v>
      </c>
      <c r="N447" s="122">
        <v>0.14337199669768091</v>
      </c>
    </row>
    <row r="448" spans="1:14" x14ac:dyDescent="0.35">
      <c r="A448" s="147"/>
      <c r="B448" s="122" t="s">
        <v>369</v>
      </c>
      <c r="C448" s="122">
        <v>2.7269975953624806E-2</v>
      </c>
      <c r="D448" s="122">
        <v>-4.1329018056683528E-3</v>
      </c>
      <c r="E448" s="122">
        <v>2.1135015723170798E-3</v>
      </c>
      <c r="F448" s="122">
        <v>-5.2837539307926996E-4</v>
      </c>
      <c r="G448" s="122">
        <v>3.111111111111111E-2</v>
      </c>
      <c r="H448" s="122">
        <v>1.1419643881301077E-2</v>
      </c>
      <c r="I448" s="122">
        <v>4.4000000000000003E-3</v>
      </c>
      <c r="J448" s="122">
        <v>1.6766513853443448E-2</v>
      </c>
      <c r="K448" s="122">
        <v>5.0523242107292449E-2</v>
      </c>
      <c r="L448" s="122">
        <v>4.6879200129761878E-3</v>
      </c>
      <c r="M448" s="122">
        <v>3.4287712042257822E-4</v>
      </c>
      <c r="N448" s="122">
        <v>0.14397350841374112</v>
      </c>
    </row>
    <row r="449" spans="1:14" x14ac:dyDescent="0.35">
      <c r="A449" s="147"/>
      <c r="B449" s="122" t="s">
        <v>355</v>
      </c>
      <c r="C449" s="122">
        <v>1.2312752120811793E-2</v>
      </c>
      <c r="D449" s="122">
        <v>-3.0604067820050769E-3</v>
      </c>
      <c r="E449" s="122">
        <v>3.9525224209566176E-3</v>
      </c>
      <c r="F449" s="122">
        <v>-9.8813060523915441E-4</v>
      </c>
      <c r="G449" s="122">
        <v>5.0909090909090911E-2</v>
      </c>
      <c r="H449" s="122">
        <v>1.4545454545454545E-2</v>
      </c>
      <c r="I449" s="122">
        <v>4.4000000000000003E-3</v>
      </c>
      <c r="J449" s="122">
        <v>6.7070446072256132E-3</v>
      </c>
      <c r="K449" s="122">
        <v>7.3615237784611098E-2</v>
      </c>
      <c r="L449" s="122">
        <v>0</v>
      </c>
      <c r="M449" s="122">
        <v>2.9375323900042061E-3</v>
      </c>
      <c r="N449" s="122">
        <v>0.16533109739091056</v>
      </c>
    </row>
    <row r="450" spans="1:14" x14ac:dyDescent="0.35">
      <c r="A450" s="147"/>
      <c r="B450" s="122" t="s">
        <v>366</v>
      </c>
      <c r="C450" s="122">
        <v>3.1465356869567078E-2</v>
      </c>
      <c r="D450" s="122">
        <v>-4.7687328526942532E-3</v>
      </c>
      <c r="E450" s="122">
        <v>2.7870350404181278E-3</v>
      </c>
      <c r="F450" s="122">
        <v>-6.9675876010453195E-4</v>
      </c>
      <c r="G450" s="122">
        <v>3.5897435897435902E-2</v>
      </c>
      <c r="H450" s="122">
        <v>1.3176512170732011E-2</v>
      </c>
      <c r="I450" s="122">
        <v>4.4000000000000003E-3</v>
      </c>
      <c r="J450" s="122">
        <v>1.6766513853443448E-2</v>
      </c>
      <c r="K450" s="122">
        <v>6.3524977150509809E-2</v>
      </c>
      <c r="L450" s="122">
        <v>5.2591536513130754E-3</v>
      </c>
      <c r="M450" s="122">
        <v>3.4287712042257822E-4</v>
      </c>
      <c r="N450" s="122">
        <v>0.16815437014104326</v>
      </c>
    </row>
    <row r="451" spans="1:14" x14ac:dyDescent="0.35">
      <c r="A451" s="147"/>
      <c r="B451" s="122" t="s">
        <v>356</v>
      </c>
      <c r="C451" s="122">
        <v>4.5229574619176545E-2</v>
      </c>
      <c r="D451" s="122">
        <v>-6.8763971865001975E-3</v>
      </c>
      <c r="E451" s="122">
        <v>3.9525224209566176E-3</v>
      </c>
      <c r="F451" s="122">
        <v>-9.8813060523915441E-4</v>
      </c>
      <c r="G451" s="122">
        <v>5.0909090909090911E-2</v>
      </c>
      <c r="H451" s="122">
        <v>1.0909090909090908E-2</v>
      </c>
      <c r="I451" s="122">
        <v>4.4000000000000003E-3</v>
      </c>
      <c r="J451" s="122">
        <v>4.5138905873477273E-3</v>
      </c>
      <c r="K451" s="122">
        <v>8.9695708793934376E-2</v>
      </c>
      <c r="L451" s="122">
        <v>1.2591276991613498E-2</v>
      </c>
      <c r="M451" s="122">
        <v>1.3227196424206973E-4</v>
      </c>
      <c r="N451" s="122">
        <v>0.2144688994037133</v>
      </c>
    </row>
    <row r="452" spans="1:14" x14ac:dyDescent="0.35">
      <c r="A452" s="147"/>
      <c r="B452" s="122" t="s">
        <v>357</v>
      </c>
      <c r="C452" s="122">
        <v>4.4623597015022408E-2</v>
      </c>
      <c r="D452" s="122">
        <v>-6.7629302274573042E-3</v>
      </c>
      <c r="E452" s="122">
        <v>3.9525224209566176E-3</v>
      </c>
      <c r="F452" s="122">
        <v>-9.8813060523915441E-4</v>
      </c>
      <c r="G452" s="122">
        <v>5.0909090909090911E-2</v>
      </c>
      <c r="H452" s="122">
        <v>1.868668998758358E-2</v>
      </c>
      <c r="I452" s="122">
        <v>4.4000000000000003E-3</v>
      </c>
      <c r="J452" s="122">
        <v>1.6766513853443448E-2</v>
      </c>
      <c r="K452" s="122">
        <v>0.10521224346623681</v>
      </c>
      <c r="L452" s="122">
        <v>6.9889694134614433E-3</v>
      </c>
      <c r="M452" s="122">
        <v>3.4287712042257822E-4</v>
      </c>
      <c r="N452" s="122">
        <v>0.24413144335352133</v>
      </c>
    </row>
    <row r="453" spans="1:14" x14ac:dyDescent="0.35">
      <c r="A453" s="147">
        <v>2034</v>
      </c>
      <c r="B453" s="122" t="s">
        <v>377</v>
      </c>
      <c r="C453" s="122">
        <v>1.0347449498978036E-3</v>
      </c>
      <c r="D453" s="122">
        <v>-9.7956440009122124E-5</v>
      </c>
      <c r="E453" s="122">
        <v>6.8982996659853576E-5</v>
      </c>
      <c r="F453" s="122">
        <v>-6.8982996659853564E-6</v>
      </c>
      <c r="G453" s="122">
        <v>1.0654632223259673E-3</v>
      </c>
      <c r="H453" s="122">
        <v>4.305425874053325E-4</v>
      </c>
      <c r="I453" s="122">
        <v>8.6011184229469056E-5</v>
      </c>
      <c r="J453" s="122">
        <v>8.3893771583125115E-4</v>
      </c>
      <c r="K453" s="122">
        <v>3.5699250078989383E-3</v>
      </c>
      <c r="L453" s="122">
        <v>0</v>
      </c>
      <c r="M453" s="122">
        <v>4.1524661257787056E-3</v>
      </c>
      <c r="N453" s="122">
        <v>1.1142219050352214E-2</v>
      </c>
    </row>
    <row r="454" spans="1:14" x14ac:dyDescent="0.35">
      <c r="A454" s="147"/>
      <c r="B454" s="122" t="s">
        <v>374</v>
      </c>
      <c r="C454" s="122">
        <v>1.0347449498978036E-3</v>
      </c>
      <c r="D454" s="122">
        <v>-9.7956440009122124E-5</v>
      </c>
      <c r="E454" s="122">
        <v>6.8982996659853576E-5</v>
      </c>
      <c r="F454" s="122">
        <v>-6.8982996659853564E-6</v>
      </c>
      <c r="G454" s="122">
        <v>1.0654632223259673E-3</v>
      </c>
      <c r="H454" s="122">
        <v>4.305425874053325E-4</v>
      </c>
      <c r="I454" s="122">
        <v>8.9502842587904882E-5</v>
      </c>
      <c r="J454" s="122">
        <v>8.3893771583125115E-4</v>
      </c>
      <c r="K454" s="122">
        <v>3.5715681412440848E-3</v>
      </c>
      <c r="L454" s="122">
        <v>0</v>
      </c>
      <c r="M454" s="122">
        <v>4.1524661257787056E-3</v>
      </c>
      <c r="N454" s="122">
        <v>1.1147353842055795E-2</v>
      </c>
    </row>
    <row r="455" spans="1:14" x14ac:dyDescent="0.35">
      <c r="A455" s="147"/>
      <c r="B455" s="122" t="s">
        <v>336</v>
      </c>
      <c r="C455" s="122">
        <v>1.0902430594344164E-3</v>
      </c>
      <c r="D455" s="122">
        <v>-1.6353645891516245E-4</v>
      </c>
      <c r="E455" s="122">
        <v>7.6311881817276459E-4</v>
      </c>
      <c r="F455" s="122">
        <v>-3.8155940908638231E-5</v>
      </c>
      <c r="G455" s="122">
        <v>1.6256502601040416E-3</v>
      </c>
      <c r="H455" s="122">
        <v>1.6256502601040416E-3</v>
      </c>
      <c r="I455" s="122">
        <v>1.7507002801120447E-3</v>
      </c>
      <c r="J455" s="122">
        <v>1.1389617660873472E-3</v>
      </c>
      <c r="K455" s="122">
        <v>4.449253029051102E-3</v>
      </c>
      <c r="L455" s="122">
        <v>0</v>
      </c>
      <c r="M455" s="122">
        <v>4.0839236749387171E-5</v>
      </c>
      <c r="N455" s="122">
        <v>1.2282724309991345E-2</v>
      </c>
    </row>
    <row r="456" spans="1:14" x14ac:dyDescent="0.35">
      <c r="A456" s="147"/>
      <c r="B456" s="122" t="s">
        <v>373</v>
      </c>
      <c r="C456" s="122">
        <v>1.0347449498978036E-3</v>
      </c>
      <c r="D456" s="122">
        <v>-9.7956440009122124E-5</v>
      </c>
      <c r="E456" s="122">
        <v>6.8982996659853576E-5</v>
      </c>
      <c r="F456" s="122">
        <v>-6.8982996659853564E-6</v>
      </c>
      <c r="G456" s="122">
        <v>1.0654632223259673E-3</v>
      </c>
      <c r="H456" s="122">
        <v>4.305425874053325E-4</v>
      </c>
      <c r="I456" s="122">
        <v>8.6011184229469056E-5</v>
      </c>
      <c r="J456" s="122">
        <v>1.8714952165904367E-3</v>
      </c>
      <c r="K456" s="122">
        <v>3.9561109317160486E-3</v>
      </c>
      <c r="L456" s="122">
        <v>0</v>
      </c>
      <c r="M456" s="122">
        <v>3.9405537131308793E-3</v>
      </c>
      <c r="N456" s="122">
        <v>1.2349050062280684E-2</v>
      </c>
    </row>
    <row r="457" spans="1:14" x14ac:dyDescent="0.35">
      <c r="A457" s="147"/>
      <c r="B457" s="122" t="s">
        <v>370</v>
      </c>
      <c r="C457" s="122">
        <v>1.0347449498978036E-3</v>
      </c>
      <c r="D457" s="122">
        <v>-9.7956440009122124E-5</v>
      </c>
      <c r="E457" s="122">
        <v>6.8982996659853576E-5</v>
      </c>
      <c r="F457" s="122">
        <v>-6.8982996659853564E-6</v>
      </c>
      <c r="G457" s="122">
        <v>1.0654632223259673E-3</v>
      </c>
      <c r="H457" s="122">
        <v>4.305425874053325E-4</v>
      </c>
      <c r="I457" s="122">
        <v>8.9502842587904882E-5</v>
      </c>
      <c r="J457" s="122">
        <v>1.8714952165904367E-3</v>
      </c>
      <c r="K457" s="122">
        <v>3.9577540650611951E-3</v>
      </c>
      <c r="L457" s="122">
        <v>0</v>
      </c>
      <c r="M457" s="122">
        <v>3.9405537131308793E-3</v>
      </c>
      <c r="N457" s="122">
        <v>1.2354184853984266E-2</v>
      </c>
    </row>
    <row r="458" spans="1:14" x14ac:dyDescent="0.35">
      <c r="A458" s="147"/>
      <c r="B458" s="122" t="s">
        <v>375</v>
      </c>
      <c r="C458" s="122">
        <v>1.0347449498978036E-3</v>
      </c>
      <c r="D458" s="122">
        <v>-9.7956440009122124E-5</v>
      </c>
      <c r="E458" s="122">
        <v>3.4491498329926784E-4</v>
      </c>
      <c r="F458" s="122">
        <v>-3.4491498329926788E-5</v>
      </c>
      <c r="G458" s="122">
        <v>1.0654632223259673E-3</v>
      </c>
      <c r="H458" s="122">
        <v>4.305425874053325E-4</v>
      </c>
      <c r="I458" s="122">
        <v>1.7869725535414797E-4</v>
      </c>
      <c r="J458" s="122">
        <v>8.3893771583125115E-4</v>
      </c>
      <c r="K458" s="122">
        <v>5.9403176916936039E-3</v>
      </c>
      <c r="L458" s="122">
        <v>0</v>
      </c>
      <c r="M458" s="122">
        <v>4.1524661257787056E-3</v>
      </c>
      <c r="N458" s="122">
        <v>1.385363659324703E-2</v>
      </c>
    </row>
    <row r="459" spans="1:14" x14ac:dyDescent="0.35">
      <c r="A459" s="147"/>
      <c r="B459" s="122" t="s">
        <v>376</v>
      </c>
      <c r="C459" s="122">
        <v>1.0347449498978036E-3</v>
      </c>
      <c r="D459" s="122">
        <v>-9.7956440009122124E-5</v>
      </c>
      <c r="E459" s="122">
        <v>6.8982996659853576E-5</v>
      </c>
      <c r="F459" s="122">
        <v>-6.8982996659853564E-6</v>
      </c>
      <c r="G459" s="122">
        <v>1.0654632223259673E-3</v>
      </c>
      <c r="H459" s="122">
        <v>4.305425874053325E-4</v>
      </c>
      <c r="I459" s="122">
        <v>8.6011184229469056E-5</v>
      </c>
      <c r="J459" s="122">
        <v>8.3893771583125115E-4</v>
      </c>
      <c r="K459" s="122">
        <v>7.0025452078017643E-3</v>
      </c>
      <c r="L459" s="122">
        <v>0</v>
      </c>
      <c r="M459" s="122">
        <v>4.1524661257787056E-3</v>
      </c>
      <c r="N459" s="122">
        <v>1.457483925025504E-2</v>
      </c>
    </row>
    <row r="460" spans="1:14" x14ac:dyDescent="0.35">
      <c r="A460" s="147"/>
      <c r="B460" s="122" t="s">
        <v>371</v>
      </c>
      <c r="C460" s="122">
        <v>1.0347449498978036E-3</v>
      </c>
      <c r="D460" s="122">
        <v>-9.7956440009122124E-5</v>
      </c>
      <c r="E460" s="122">
        <v>3.4491498329926784E-4</v>
      </c>
      <c r="F460" s="122">
        <v>-3.4491498329926788E-5</v>
      </c>
      <c r="G460" s="122">
        <v>1.0654632223259673E-3</v>
      </c>
      <c r="H460" s="122">
        <v>4.305425874053325E-4</v>
      </c>
      <c r="I460" s="122">
        <v>1.7869725535414797E-4</v>
      </c>
      <c r="J460" s="122">
        <v>1.8714952165904367E-3</v>
      </c>
      <c r="K460" s="122">
        <v>6.5510303154043843E-3</v>
      </c>
      <c r="L460" s="122">
        <v>0</v>
      </c>
      <c r="M460" s="122">
        <v>3.9405537131308793E-3</v>
      </c>
      <c r="N460" s="122">
        <v>1.5284994305069171E-2</v>
      </c>
    </row>
    <row r="461" spans="1:14" x14ac:dyDescent="0.35">
      <c r="A461" s="147"/>
      <c r="B461" s="122" t="s">
        <v>337</v>
      </c>
      <c r="C461" s="122">
        <v>1.8209695944675583E-3</v>
      </c>
      <c r="D461" s="122">
        <v>-1.5096790045692366E-4</v>
      </c>
      <c r="E461" s="122">
        <v>7.6311881817276459E-4</v>
      </c>
      <c r="F461" s="122">
        <v>-3.8155940908638231E-5</v>
      </c>
      <c r="G461" s="122">
        <v>1.6256502601040416E-3</v>
      </c>
      <c r="H461" s="122">
        <v>2.7152291126929309E-3</v>
      </c>
      <c r="I461" s="122">
        <v>1.7507002801120447E-3</v>
      </c>
      <c r="J461" s="122">
        <v>1.2101468764678064E-3</v>
      </c>
      <c r="K461" s="122">
        <v>5.5217220027272348E-3</v>
      </c>
      <c r="L461" s="122">
        <v>2.8135253484664127E-4</v>
      </c>
      <c r="M461" s="122">
        <v>4.3391689046223865E-5</v>
      </c>
      <c r="N461" s="122">
        <v>1.5543157327271684E-2</v>
      </c>
    </row>
    <row r="462" spans="1:14" x14ac:dyDescent="0.35">
      <c r="A462" s="147"/>
      <c r="B462" s="122" t="s">
        <v>372</v>
      </c>
      <c r="C462" s="122">
        <v>1.0347449498978036E-3</v>
      </c>
      <c r="D462" s="122">
        <v>-9.7956440009122124E-5</v>
      </c>
      <c r="E462" s="122">
        <v>6.8982996659853576E-5</v>
      </c>
      <c r="F462" s="122">
        <v>-6.8982996659853564E-6</v>
      </c>
      <c r="G462" s="122">
        <v>1.0654632223259673E-3</v>
      </c>
      <c r="H462" s="122">
        <v>4.305425874053325E-4</v>
      </c>
      <c r="I462" s="122">
        <v>8.6011184229469056E-5</v>
      </c>
      <c r="J462" s="122">
        <v>1.8714952165904367E-3</v>
      </c>
      <c r="K462" s="122">
        <v>7.7600637506737881E-3</v>
      </c>
      <c r="L462" s="122">
        <v>0</v>
      </c>
      <c r="M462" s="122">
        <v>3.9405537131308793E-3</v>
      </c>
      <c r="N462" s="122">
        <v>1.6153002881238422E-2</v>
      </c>
    </row>
    <row r="463" spans="1:14" x14ac:dyDescent="0.35">
      <c r="A463" s="147"/>
      <c r="B463" s="122" t="s">
        <v>335</v>
      </c>
      <c r="C463" s="122">
        <v>7.6317014160409149E-4</v>
      </c>
      <c r="D463" s="122">
        <v>-8.0920645629828101E-5</v>
      </c>
      <c r="E463" s="122">
        <v>7.6311881817276459E-4</v>
      </c>
      <c r="F463" s="122">
        <v>-3.8155940908638231E-5</v>
      </c>
      <c r="G463" s="122">
        <v>1.6256502601040416E-3</v>
      </c>
      <c r="H463" s="122">
        <v>2.6260504201680674E-3</v>
      </c>
      <c r="I463" s="122">
        <v>1.7507002801120447E-3</v>
      </c>
      <c r="J463" s="122">
        <v>9.4423626496312793E-4</v>
      </c>
      <c r="K463" s="122">
        <v>5.8882474069036368E-3</v>
      </c>
      <c r="L463" s="122">
        <v>0</v>
      </c>
      <c r="M463" s="122">
        <v>2.0378339096479639E-3</v>
      </c>
      <c r="N463" s="122">
        <v>1.627993091513727E-2</v>
      </c>
    </row>
    <row r="464" spans="1:14" x14ac:dyDescent="0.35">
      <c r="A464" s="147"/>
      <c r="B464" s="122" t="s">
        <v>348</v>
      </c>
      <c r="C464" s="122">
        <v>1.0902430594344164E-3</v>
      </c>
      <c r="D464" s="122">
        <v>-1.6353645891516245E-4</v>
      </c>
      <c r="E464" s="122">
        <v>7.6311881817276459E-4</v>
      </c>
      <c r="F464" s="122">
        <v>-3.8155940908638231E-5</v>
      </c>
      <c r="G464" s="122">
        <v>3.6264505802320927E-3</v>
      </c>
      <c r="H464" s="122">
        <v>1.6256502601040416E-3</v>
      </c>
      <c r="I464" s="122">
        <v>4.0016006402561026E-3</v>
      </c>
      <c r="J464" s="122">
        <v>1.1389617660873472E-3</v>
      </c>
      <c r="K464" s="122">
        <v>4.7294659389559655E-3</v>
      </c>
      <c r="L464" s="122">
        <v>0</v>
      </c>
      <c r="M464" s="122">
        <v>4.0839236749387171E-5</v>
      </c>
      <c r="N464" s="122">
        <v>1.6814637900168319E-2</v>
      </c>
    </row>
    <row r="465" spans="1:14" x14ac:dyDescent="0.35">
      <c r="A465" s="147"/>
      <c r="B465" s="122" t="s">
        <v>344</v>
      </c>
      <c r="C465" s="122">
        <v>1.0902430594344164E-3</v>
      </c>
      <c r="D465" s="122">
        <v>-1.6353645891516245E-4</v>
      </c>
      <c r="E465" s="122">
        <v>5.087458787818432E-4</v>
      </c>
      <c r="F465" s="122">
        <v>-2.5437293939092156E-5</v>
      </c>
      <c r="G465" s="122">
        <v>1.525610244097639E-3</v>
      </c>
      <c r="H465" s="122">
        <v>1.6256502601040416E-3</v>
      </c>
      <c r="I465" s="122">
        <v>1.6256502601040416E-3</v>
      </c>
      <c r="J465" s="122">
        <v>1.1389617660873472E-3</v>
      </c>
      <c r="K465" s="122">
        <v>9.9674020698891797E-3</v>
      </c>
      <c r="L465" s="122">
        <v>0</v>
      </c>
      <c r="M465" s="122">
        <v>4.0839236749387171E-5</v>
      </c>
      <c r="N465" s="122">
        <v>1.7334129022393643E-2</v>
      </c>
    </row>
    <row r="466" spans="1:14" x14ac:dyDescent="0.35">
      <c r="A466" s="147"/>
      <c r="B466" s="122" t="s">
        <v>338</v>
      </c>
      <c r="C466" s="122">
        <v>1.6052596798267933E-3</v>
      </c>
      <c r="D466" s="122">
        <v>-1.1861141326080898E-4</v>
      </c>
      <c r="E466" s="122">
        <v>7.6311881817276459E-4</v>
      </c>
      <c r="F466" s="122">
        <v>-3.8155940908638231E-5</v>
      </c>
      <c r="G466" s="122">
        <v>1.6256502601040416E-3</v>
      </c>
      <c r="H466" s="122">
        <v>2.5777082888133671E-3</v>
      </c>
      <c r="I466" s="122">
        <v>1.7507002801120447E-3</v>
      </c>
      <c r="J466" s="122">
        <v>2.7891216554751389E-3</v>
      </c>
      <c r="K466" s="122">
        <v>6.260286177716106E-3</v>
      </c>
      <c r="L466" s="122">
        <v>2.0235268453223758E-4</v>
      </c>
      <c r="M466" s="122">
        <v>9.8294139121103233E-5</v>
      </c>
      <c r="N466" s="122">
        <v>1.7515724629704146E-2</v>
      </c>
    </row>
    <row r="467" spans="1:14" x14ac:dyDescent="0.35">
      <c r="A467" s="147"/>
      <c r="B467" s="122" t="s">
        <v>352</v>
      </c>
      <c r="C467" s="122">
        <v>8.7219444754753307E-4</v>
      </c>
      <c r="D467" s="122">
        <v>-1.3082916713212997E-4</v>
      </c>
      <c r="E467" s="122">
        <v>5.0874587878184309E-4</v>
      </c>
      <c r="F467" s="122">
        <v>-2.5437293939092159E-5</v>
      </c>
      <c r="G467" s="122">
        <v>1.3005202080832333E-3</v>
      </c>
      <c r="H467" s="122">
        <v>1.3005202080832333E-3</v>
      </c>
      <c r="I467" s="122">
        <v>1.4005602240896359E-3</v>
      </c>
      <c r="J467" s="122">
        <v>9.1116941286987769E-4</v>
      </c>
      <c r="K467" s="122">
        <v>1.2004566439284936E-2</v>
      </c>
      <c r="L467" s="122">
        <v>0</v>
      </c>
      <c r="M467" s="122">
        <v>3.2671389399509734E-5</v>
      </c>
      <c r="N467" s="122">
        <v>1.8174681747068582E-2</v>
      </c>
    </row>
    <row r="468" spans="1:14" x14ac:dyDescent="0.35">
      <c r="A468" s="147"/>
      <c r="B468" s="122" t="s">
        <v>333</v>
      </c>
      <c r="C468" s="122">
        <v>1.9812010201050753E-3</v>
      </c>
      <c r="D468" s="122">
        <v>-1.0568171698204363E-4</v>
      </c>
      <c r="E468" s="122">
        <v>6.8982996659853576E-5</v>
      </c>
      <c r="F468" s="122">
        <v>-6.8982996659853564E-6</v>
      </c>
      <c r="G468" s="122">
        <v>1.0654632223259673E-3</v>
      </c>
      <c r="H468" s="122">
        <v>2.9878618113912231E-4</v>
      </c>
      <c r="I468" s="122">
        <v>8.6011184229469056E-5</v>
      </c>
      <c r="J468" s="122">
        <v>8.0928925477125307E-3</v>
      </c>
      <c r="K468" s="122">
        <v>5.564257122632716E-3</v>
      </c>
      <c r="L468" s="122">
        <v>1.0132956488383624E-3</v>
      </c>
      <c r="M468" s="122">
        <v>3.29492650738565E-4</v>
      </c>
      <c r="N468" s="122">
        <v>1.8387802557733632E-2</v>
      </c>
    </row>
    <row r="469" spans="1:14" x14ac:dyDescent="0.35">
      <c r="A469" s="147"/>
      <c r="B469" s="122" t="s">
        <v>324</v>
      </c>
      <c r="C469" s="122">
        <v>1.9812010201050753E-3</v>
      </c>
      <c r="D469" s="122">
        <v>-1.0568171698204363E-4</v>
      </c>
      <c r="E469" s="122">
        <v>6.8982996659853576E-5</v>
      </c>
      <c r="F469" s="122">
        <v>-6.8982996659853564E-6</v>
      </c>
      <c r="G469" s="122">
        <v>1.0654632223259673E-3</v>
      </c>
      <c r="H469" s="122">
        <v>2.9878618113912231E-4</v>
      </c>
      <c r="I469" s="122">
        <v>8.9502842587904882E-5</v>
      </c>
      <c r="J469" s="122">
        <v>8.0928925477125307E-3</v>
      </c>
      <c r="K469" s="122">
        <v>5.5659002559778625E-3</v>
      </c>
      <c r="L469" s="122">
        <v>1.013594876539816E-3</v>
      </c>
      <c r="M469" s="122">
        <v>3.29492650738565E-4</v>
      </c>
      <c r="N469" s="122">
        <v>1.8393236577138667E-2</v>
      </c>
    </row>
    <row r="470" spans="1:14" x14ac:dyDescent="0.35">
      <c r="A470" s="147"/>
      <c r="B470" s="122" t="s">
        <v>340</v>
      </c>
      <c r="C470" s="122">
        <v>1.0902430594344164E-3</v>
      </c>
      <c r="D470" s="122">
        <v>-1.6353645891516245E-4</v>
      </c>
      <c r="E470" s="122">
        <v>1.0174917575636864E-3</v>
      </c>
      <c r="F470" s="122">
        <v>-5.0874587878184312E-5</v>
      </c>
      <c r="G470" s="122">
        <v>1.5506202480992397E-3</v>
      </c>
      <c r="H470" s="122">
        <v>1.6256502601040416E-3</v>
      </c>
      <c r="I470" s="122">
        <v>1.6256502601040416E-3</v>
      </c>
      <c r="J470" s="122">
        <v>1.1389617660873472E-3</v>
      </c>
      <c r="K470" s="122">
        <v>1.0718817901110086E-2</v>
      </c>
      <c r="L470" s="122">
        <v>0</v>
      </c>
      <c r="M470" s="122">
        <v>4.0839236749387171E-5</v>
      </c>
      <c r="N470" s="122">
        <v>1.8593863442458902E-2</v>
      </c>
    </row>
    <row r="471" spans="1:14" x14ac:dyDescent="0.35">
      <c r="A471" s="147"/>
      <c r="B471" s="122" t="s">
        <v>332</v>
      </c>
      <c r="C471" s="122">
        <v>1.9922371300663917E-3</v>
      </c>
      <c r="D471" s="122">
        <v>-1.067853279781753E-4</v>
      </c>
      <c r="E471" s="122">
        <v>6.8982996659853576E-5</v>
      </c>
      <c r="F471" s="122">
        <v>-6.8982996659853564E-6</v>
      </c>
      <c r="G471" s="122">
        <v>1.0654632223259673E-3</v>
      </c>
      <c r="H471" s="122">
        <v>2.9878618113912231E-4</v>
      </c>
      <c r="I471" s="122">
        <v>8.6011184229469056E-5</v>
      </c>
      <c r="J471" s="122">
        <v>8.4398865141135527E-3</v>
      </c>
      <c r="K471" s="122">
        <v>5.7292969451736304E-3</v>
      </c>
      <c r="L471" s="122">
        <v>1.3207646748279091E-3</v>
      </c>
      <c r="M471" s="122">
        <v>3.2327580827179973E-4</v>
      </c>
      <c r="N471" s="122">
        <v>1.9211021029163538E-2</v>
      </c>
    </row>
    <row r="472" spans="1:14" x14ac:dyDescent="0.35">
      <c r="A472" s="147"/>
      <c r="B472" s="122" t="s">
        <v>323</v>
      </c>
      <c r="C472" s="122">
        <v>1.9922371300663917E-3</v>
      </c>
      <c r="D472" s="122">
        <v>-1.067853279781753E-4</v>
      </c>
      <c r="E472" s="122">
        <v>6.8982996659853576E-5</v>
      </c>
      <c r="F472" s="122">
        <v>-6.8982996659853564E-6</v>
      </c>
      <c r="G472" s="122">
        <v>1.0654632223259673E-3</v>
      </c>
      <c r="H472" s="122">
        <v>2.9878618113912231E-4</v>
      </c>
      <c r="I472" s="122">
        <v>8.9502842587904882E-5</v>
      </c>
      <c r="J472" s="122">
        <v>8.4398865141135527E-3</v>
      </c>
      <c r="K472" s="122">
        <v>5.7309400785187752E-3</v>
      </c>
      <c r="L472" s="122">
        <v>1.321143463447012E-3</v>
      </c>
      <c r="M472" s="122">
        <v>3.2327580827179973E-4</v>
      </c>
      <c r="N472" s="122">
        <v>1.9216534609486215E-2</v>
      </c>
    </row>
    <row r="473" spans="1:14" x14ac:dyDescent="0.35">
      <c r="A473" s="147"/>
      <c r="B473" s="122" t="s">
        <v>349</v>
      </c>
      <c r="C473" s="122">
        <v>1.8209695944675583E-3</v>
      </c>
      <c r="D473" s="122">
        <v>-1.5096790045692366E-4</v>
      </c>
      <c r="E473" s="122">
        <v>7.6311881817276459E-4</v>
      </c>
      <c r="F473" s="122">
        <v>-3.8155940908638231E-5</v>
      </c>
      <c r="G473" s="122">
        <v>3.6264505802320927E-3</v>
      </c>
      <c r="H473" s="122">
        <v>2.7152291126929309E-3</v>
      </c>
      <c r="I473" s="122">
        <v>4.0016006402561026E-3</v>
      </c>
      <c r="J473" s="122">
        <v>1.2101468764678064E-3</v>
      </c>
      <c r="K473" s="122">
        <v>5.4709259701394633E-3</v>
      </c>
      <c r="L473" s="122">
        <v>4.0321262746037013E-4</v>
      </c>
      <c r="M473" s="122">
        <v>4.3391689046223865E-5</v>
      </c>
      <c r="N473" s="122">
        <v>1.9865922067569753E-2</v>
      </c>
    </row>
    <row r="474" spans="1:14" x14ac:dyDescent="0.35">
      <c r="A474" s="147"/>
      <c r="B474" s="122" t="s">
        <v>347</v>
      </c>
      <c r="C474" s="122">
        <v>7.6317014160409149E-4</v>
      </c>
      <c r="D474" s="122">
        <v>-8.0920645629828101E-5</v>
      </c>
      <c r="E474" s="122">
        <v>7.6311881817276459E-4</v>
      </c>
      <c r="F474" s="122">
        <v>-3.8155940908638231E-5</v>
      </c>
      <c r="G474" s="122">
        <v>3.6264505802320927E-3</v>
      </c>
      <c r="H474" s="122">
        <v>2.6260504201680674E-3</v>
      </c>
      <c r="I474" s="122">
        <v>4.0016006402561026E-3</v>
      </c>
      <c r="J474" s="122">
        <v>9.4423626496312793E-4</v>
      </c>
      <c r="K474" s="122">
        <v>5.7243262495700609E-3</v>
      </c>
      <c r="L474" s="122">
        <v>0</v>
      </c>
      <c r="M474" s="122">
        <v>2.0378339096479639E-3</v>
      </c>
      <c r="N474" s="122">
        <v>2.0367710438075802E-2</v>
      </c>
    </row>
    <row r="475" spans="1:14" x14ac:dyDescent="0.35">
      <c r="A475" s="147"/>
      <c r="B475" s="122" t="s">
        <v>350</v>
      </c>
      <c r="C475" s="122">
        <v>1.6052596798267933E-3</v>
      </c>
      <c r="D475" s="122">
        <v>-1.1861141326080898E-4</v>
      </c>
      <c r="E475" s="122">
        <v>7.6311881817276459E-4</v>
      </c>
      <c r="F475" s="122">
        <v>-3.8155940908638231E-5</v>
      </c>
      <c r="G475" s="122">
        <v>3.6264505802320927E-3</v>
      </c>
      <c r="H475" s="122">
        <v>2.5777082888133671E-3</v>
      </c>
      <c r="I475" s="122">
        <v>4.0016006402561026E-3</v>
      </c>
      <c r="J475" s="122">
        <v>2.7891216554751389E-3</v>
      </c>
      <c r="K475" s="122">
        <v>5.9815382392675726E-3</v>
      </c>
      <c r="L475" s="122">
        <v>2.7965633326445735E-4</v>
      </c>
      <c r="M475" s="122">
        <v>9.8294139121103233E-5</v>
      </c>
      <c r="N475" s="122">
        <v>2.1565981020259944E-2</v>
      </c>
    </row>
    <row r="476" spans="1:14" x14ac:dyDescent="0.35">
      <c r="A476" s="147"/>
      <c r="B476" s="122" t="s">
        <v>345</v>
      </c>
      <c r="C476" s="122">
        <v>1.8209695944675583E-3</v>
      </c>
      <c r="D476" s="122">
        <v>-1.5096790045692366E-4</v>
      </c>
      <c r="E476" s="122">
        <v>5.087458787818432E-4</v>
      </c>
      <c r="F476" s="122">
        <v>-2.5437293939092156E-5</v>
      </c>
      <c r="G476" s="122">
        <v>1.525610244097639E-3</v>
      </c>
      <c r="H476" s="122">
        <v>2.7152291126929309E-3</v>
      </c>
      <c r="I476" s="122">
        <v>1.6256502601040416E-3</v>
      </c>
      <c r="J476" s="122">
        <v>1.2101468764678064E-3</v>
      </c>
      <c r="K476" s="122">
        <v>1.2529411284782162E-2</v>
      </c>
      <c r="L476" s="122">
        <v>2.6724587433695976E-4</v>
      </c>
      <c r="M476" s="122">
        <v>4.3391689046223865E-5</v>
      </c>
      <c r="N476" s="122">
        <v>2.2069995620381148E-2</v>
      </c>
    </row>
    <row r="477" spans="1:14" x14ac:dyDescent="0.35">
      <c r="A477" s="147"/>
      <c r="B477" s="122" t="s">
        <v>327</v>
      </c>
      <c r="C477" s="122">
        <v>1.9812010201050753E-3</v>
      </c>
      <c r="D477" s="122">
        <v>-1.0568171698204363E-4</v>
      </c>
      <c r="E477" s="122">
        <v>3.4491498329926784E-4</v>
      </c>
      <c r="F477" s="122">
        <v>-3.4491498329926788E-5</v>
      </c>
      <c r="G477" s="122">
        <v>1.0654632223259673E-3</v>
      </c>
      <c r="H477" s="122">
        <v>2.9878618113912231E-4</v>
      </c>
      <c r="I477" s="122">
        <v>1.7869725535414797E-4</v>
      </c>
      <c r="J477" s="122">
        <v>8.0928925477125307E-3</v>
      </c>
      <c r="K477" s="122">
        <v>9.0941452219702769E-3</v>
      </c>
      <c r="L477" s="122">
        <v>1.047250111554987E-3</v>
      </c>
      <c r="M477" s="122">
        <v>3.29492650738565E-4</v>
      </c>
      <c r="N477" s="122">
        <v>2.2292669978887968E-2</v>
      </c>
    </row>
    <row r="478" spans="1:14" x14ac:dyDescent="0.35">
      <c r="A478" s="147"/>
      <c r="B478" s="122" t="s">
        <v>353</v>
      </c>
      <c r="C478" s="122">
        <v>1.4567756755740466E-3</v>
      </c>
      <c r="D478" s="122">
        <v>-1.2077432036553891E-4</v>
      </c>
      <c r="E478" s="122">
        <v>5.0874587878184309E-4</v>
      </c>
      <c r="F478" s="122">
        <v>-2.5437293939092159E-5</v>
      </c>
      <c r="G478" s="122">
        <v>1.3005202080832333E-3</v>
      </c>
      <c r="H478" s="122">
        <v>2.1721832901543448E-3</v>
      </c>
      <c r="I478" s="122">
        <v>1.4005602240896359E-3</v>
      </c>
      <c r="J478" s="122">
        <v>9.6811750117424501E-4</v>
      </c>
      <c r="K478" s="122">
        <v>1.4947897955929429E-2</v>
      </c>
      <c r="L478" s="122">
        <v>1.7660359967761052E-4</v>
      </c>
      <c r="M478" s="122">
        <v>3.4713351236979088E-5</v>
      </c>
      <c r="N478" s="122">
        <v>2.2819906070396738E-2</v>
      </c>
    </row>
    <row r="479" spans="1:14" x14ac:dyDescent="0.35">
      <c r="A479" s="147"/>
      <c r="B479" s="122" t="s">
        <v>326</v>
      </c>
      <c r="C479" s="122">
        <v>1.9922371300663917E-3</v>
      </c>
      <c r="D479" s="122">
        <v>-1.067853279781753E-4</v>
      </c>
      <c r="E479" s="122">
        <v>3.4491498329926784E-4</v>
      </c>
      <c r="F479" s="122">
        <v>-3.4491498329926788E-5</v>
      </c>
      <c r="G479" s="122">
        <v>1.0654632223259673E-3</v>
      </c>
      <c r="H479" s="122">
        <v>2.9878618113912231E-4</v>
      </c>
      <c r="I479" s="122">
        <v>1.7869725535414797E-4</v>
      </c>
      <c r="J479" s="122">
        <v>8.4398865141135527E-3</v>
      </c>
      <c r="K479" s="122">
        <v>9.3551384297093972E-3</v>
      </c>
      <c r="L479" s="122">
        <v>1.3637472061323753E-3</v>
      </c>
      <c r="M479" s="122">
        <v>3.2327580827179973E-4</v>
      </c>
      <c r="N479" s="122">
        <v>2.3220869904103918E-2</v>
      </c>
    </row>
    <row r="480" spans="1:14" x14ac:dyDescent="0.35">
      <c r="A480" s="147"/>
      <c r="B480" s="122" t="s">
        <v>343</v>
      </c>
      <c r="C480" s="122">
        <v>7.6317014160409149E-4</v>
      </c>
      <c r="D480" s="122">
        <v>-8.0920645629828101E-5</v>
      </c>
      <c r="E480" s="122">
        <v>5.087458787818432E-4</v>
      </c>
      <c r="F480" s="122">
        <v>-2.5437293939092156E-5</v>
      </c>
      <c r="G480" s="122">
        <v>1.525610244097639E-3</v>
      </c>
      <c r="H480" s="122">
        <v>2.6260504201680674E-3</v>
      </c>
      <c r="I480" s="122">
        <v>1.6256502601040416E-3</v>
      </c>
      <c r="J480" s="122">
        <v>9.4423626496312793E-4</v>
      </c>
      <c r="K480" s="122">
        <v>1.3404999750314676E-2</v>
      </c>
      <c r="L480" s="122">
        <v>0</v>
      </c>
      <c r="M480" s="122">
        <v>2.0378339096479639E-3</v>
      </c>
      <c r="N480" s="122">
        <v>2.332993893011253E-2</v>
      </c>
    </row>
    <row r="481" spans="1:14" x14ac:dyDescent="0.35">
      <c r="A481" s="147"/>
      <c r="B481" s="122" t="s">
        <v>341</v>
      </c>
      <c r="C481" s="122">
        <v>1.8209695944675583E-3</v>
      </c>
      <c r="D481" s="122">
        <v>-1.5096790045692366E-4</v>
      </c>
      <c r="E481" s="122">
        <v>1.0174917575636864E-3</v>
      </c>
      <c r="F481" s="122">
        <v>-5.0874587878184312E-5</v>
      </c>
      <c r="G481" s="122">
        <v>1.5506202480992397E-3</v>
      </c>
      <c r="H481" s="122">
        <v>2.7152291126929309E-3</v>
      </c>
      <c r="I481" s="122">
        <v>1.6256502601040416E-3</v>
      </c>
      <c r="J481" s="122">
        <v>1.2101468764678064E-3</v>
      </c>
      <c r="K481" s="122">
        <v>1.3280827116003065E-2</v>
      </c>
      <c r="L481" s="122">
        <v>2.832731860949473E-4</v>
      </c>
      <c r="M481" s="122">
        <v>4.3391689046223865E-5</v>
      </c>
      <c r="N481" s="122">
        <v>2.3345757352204389E-2</v>
      </c>
    </row>
    <row r="482" spans="1:14" x14ac:dyDescent="0.35">
      <c r="A482" s="147"/>
      <c r="B482" s="122" t="s">
        <v>330</v>
      </c>
      <c r="C482" s="122">
        <v>1.9812010201050753E-3</v>
      </c>
      <c r="D482" s="122">
        <v>-1.0568171698204363E-4</v>
      </c>
      <c r="E482" s="122">
        <v>6.8982996659853576E-5</v>
      </c>
      <c r="F482" s="122">
        <v>-6.8982996659853564E-6</v>
      </c>
      <c r="G482" s="122">
        <v>1.0654632223259673E-3</v>
      </c>
      <c r="H482" s="122">
        <v>2.9878618113912231E-4</v>
      </c>
      <c r="I482" s="122">
        <v>8.6011184229469056E-5</v>
      </c>
      <c r="J482" s="122">
        <v>8.0928925477125307E-3</v>
      </c>
      <c r="K482" s="122">
        <v>1.091450435593341E-2</v>
      </c>
      <c r="L482" s="122">
        <v>1.0132956488383624E-3</v>
      </c>
      <c r="M482" s="122">
        <v>3.29492650738565E-4</v>
      </c>
      <c r="N482" s="122">
        <v>2.3738049791034325E-2</v>
      </c>
    </row>
    <row r="483" spans="1:14" x14ac:dyDescent="0.35">
      <c r="A483" s="147"/>
      <c r="B483" s="122" t="s">
        <v>351</v>
      </c>
      <c r="C483" s="122">
        <v>6.1053611328327313E-4</v>
      </c>
      <c r="D483" s="122">
        <v>-6.4736516503862478E-5</v>
      </c>
      <c r="E483" s="122">
        <v>5.0874587878184309E-4</v>
      </c>
      <c r="F483" s="122">
        <v>-2.5437293939092159E-5</v>
      </c>
      <c r="G483" s="122">
        <v>1.3005202080832333E-3</v>
      </c>
      <c r="H483" s="122">
        <v>2.1008403361344541E-3</v>
      </c>
      <c r="I483" s="122">
        <v>1.4005602240896359E-3</v>
      </c>
      <c r="J483" s="122">
        <v>7.5538901197050236E-4</v>
      </c>
      <c r="K483" s="122">
        <v>1.5953806565169107E-2</v>
      </c>
      <c r="L483" s="122">
        <v>0</v>
      </c>
      <c r="M483" s="122">
        <v>1.6302671277183709E-3</v>
      </c>
      <c r="N483" s="122">
        <v>2.4170491654787466E-2</v>
      </c>
    </row>
    <row r="484" spans="1:14" x14ac:dyDescent="0.35">
      <c r="A484" s="147"/>
      <c r="B484" s="122" t="s">
        <v>339</v>
      </c>
      <c r="C484" s="122">
        <v>7.6317014160409149E-4</v>
      </c>
      <c r="D484" s="122">
        <v>-8.0920645629828101E-5</v>
      </c>
      <c r="E484" s="122">
        <v>1.0174917575636864E-3</v>
      </c>
      <c r="F484" s="122">
        <v>-5.0874587878184312E-5</v>
      </c>
      <c r="G484" s="122">
        <v>1.5506202480992397E-3</v>
      </c>
      <c r="H484" s="122">
        <v>2.6260504201680674E-3</v>
      </c>
      <c r="I484" s="122">
        <v>1.6256502601040416E-3</v>
      </c>
      <c r="J484" s="122">
        <v>9.4423626496312793E-4</v>
      </c>
      <c r="K484" s="122">
        <v>1.4156415581535584E-2</v>
      </c>
      <c r="L484" s="122">
        <v>0</v>
      </c>
      <c r="M484" s="122">
        <v>2.0378339096479639E-3</v>
      </c>
      <c r="N484" s="122">
        <v>2.4589673350177789E-2</v>
      </c>
    </row>
    <row r="485" spans="1:14" x14ac:dyDescent="0.35">
      <c r="A485" s="147"/>
      <c r="B485" s="122" t="s">
        <v>329</v>
      </c>
      <c r="C485" s="122">
        <v>1.9922371300663917E-3</v>
      </c>
      <c r="D485" s="122">
        <v>-1.067853279781753E-4</v>
      </c>
      <c r="E485" s="122">
        <v>6.8982996659853576E-5</v>
      </c>
      <c r="F485" s="122">
        <v>-6.8982996659853564E-6</v>
      </c>
      <c r="G485" s="122">
        <v>1.0654632223259673E-3</v>
      </c>
      <c r="H485" s="122">
        <v>2.9878618113912231E-4</v>
      </c>
      <c r="I485" s="122">
        <v>8.6011184229469056E-5</v>
      </c>
      <c r="J485" s="122">
        <v>8.4398865141135527E-3</v>
      </c>
      <c r="K485" s="122">
        <v>1.1238236315532892E-2</v>
      </c>
      <c r="L485" s="122">
        <v>1.3207646748279091E-3</v>
      </c>
      <c r="M485" s="122">
        <v>3.2327580827179973E-4</v>
      </c>
      <c r="N485" s="122">
        <v>2.4719960399522799E-2</v>
      </c>
    </row>
    <row r="486" spans="1:14" x14ac:dyDescent="0.35">
      <c r="A486" s="147"/>
      <c r="B486" s="122" t="s">
        <v>346</v>
      </c>
      <c r="C486" s="122">
        <v>1.6052596798267933E-3</v>
      </c>
      <c r="D486" s="122">
        <v>-1.1861141326080898E-4</v>
      </c>
      <c r="E486" s="122">
        <v>5.087458787818432E-4</v>
      </c>
      <c r="F486" s="122">
        <v>-2.5437293939092156E-5</v>
      </c>
      <c r="G486" s="122">
        <v>1.525610244097639E-3</v>
      </c>
      <c r="H486" s="122">
        <v>2.5777082888133671E-3</v>
      </c>
      <c r="I486" s="122">
        <v>1.6256502601040416E-3</v>
      </c>
      <c r="J486" s="122">
        <v>2.7891216554751389E-3</v>
      </c>
      <c r="K486" s="122">
        <v>1.4293759036144467E-2</v>
      </c>
      <c r="L486" s="122">
        <v>1.9340392776178578E-4</v>
      </c>
      <c r="M486" s="122">
        <v>9.8294139121103233E-5</v>
      </c>
      <c r="N486" s="122">
        <v>2.5073504402926279E-2</v>
      </c>
    </row>
    <row r="487" spans="1:14" x14ac:dyDescent="0.35">
      <c r="A487" s="147"/>
      <c r="B487" s="122" t="s">
        <v>354</v>
      </c>
      <c r="C487" s="122">
        <v>1.2842077438614348E-3</v>
      </c>
      <c r="D487" s="122">
        <v>-9.4889130608647181E-5</v>
      </c>
      <c r="E487" s="122">
        <v>5.0874587878184309E-4</v>
      </c>
      <c r="F487" s="122">
        <v>-2.5437293939092159E-5</v>
      </c>
      <c r="G487" s="122">
        <v>1.3005202080832333E-3</v>
      </c>
      <c r="H487" s="122">
        <v>2.0621666310506933E-3</v>
      </c>
      <c r="I487" s="122">
        <v>1.4005602240896359E-3</v>
      </c>
      <c r="J487" s="122">
        <v>2.231297324380111E-3</v>
      </c>
      <c r="K487" s="122">
        <v>1.6974846302843336E-2</v>
      </c>
      <c r="L487" s="122">
        <v>1.2748813746194659E-4</v>
      </c>
      <c r="M487" s="122">
        <v>7.8635311296882581E-5</v>
      </c>
      <c r="N487" s="122">
        <v>2.5848141337301376E-2</v>
      </c>
    </row>
    <row r="488" spans="1:14" x14ac:dyDescent="0.35">
      <c r="A488" s="147"/>
      <c r="B488" s="122" t="s">
        <v>334</v>
      </c>
      <c r="C488" s="122">
        <v>1.3120601049831952E-3</v>
      </c>
      <c r="D488" s="122">
        <v>-7.1121060229817985E-5</v>
      </c>
      <c r="E488" s="122">
        <v>6.8982996659853576E-5</v>
      </c>
      <c r="F488" s="122">
        <v>-6.8982996659853564E-6</v>
      </c>
      <c r="G488" s="122">
        <v>1.0654632223259673E-3</v>
      </c>
      <c r="H488" s="122">
        <v>4.305425874053325E-4</v>
      </c>
      <c r="I488" s="122">
        <v>8.6011184229469056E-5</v>
      </c>
      <c r="J488" s="122">
        <v>1.3920695198697394E-2</v>
      </c>
      <c r="K488" s="122">
        <v>8.1118929489114346E-3</v>
      </c>
      <c r="L488" s="122">
        <v>7.1824052151820209E-4</v>
      </c>
      <c r="M488" s="122">
        <v>4.1823998269942579E-4</v>
      </c>
      <c r="N488" s="122">
        <v>2.6054109387534472E-2</v>
      </c>
    </row>
    <row r="489" spans="1:14" x14ac:dyDescent="0.35">
      <c r="A489" s="147"/>
      <c r="B489" s="122" t="s">
        <v>325</v>
      </c>
      <c r="C489" s="122">
        <v>1.3120601049831952E-3</v>
      </c>
      <c r="D489" s="122">
        <v>-7.1121060229817985E-5</v>
      </c>
      <c r="E489" s="122">
        <v>6.8982996659853576E-5</v>
      </c>
      <c r="F489" s="122">
        <v>-6.8982996659853564E-6</v>
      </c>
      <c r="G489" s="122">
        <v>1.0654632223259673E-3</v>
      </c>
      <c r="H489" s="122">
        <v>4.305425874053325E-4</v>
      </c>
      <c r="I489" s="122">
        <v>8.9502842587904882E-5</v>
      </c>
      <c r="J489" s="122">
        <v>1.3920695198697394E-2</v>
      </c>
      <c r="K489" s="122">
        <v>8.1135360822565811E-3</v>
      </c>
      <c r="L489" s="122">
        <v>7.1838600728313731E-4</v>
      </c>
      <c r="M489" s="122">
        <v>4.1823998269942579E-4</v>
      </c>
      <c r="N489" s="122">
        <v>2.6059389665002989E-2</v>
      </c>
    </row>
    <row r="490" spans="1:14" x14ac:dyDescent="0.35">
      <c r="A490" s="147"/>
      <c r="B490" s="122" t="s">
        <v>342</v>
      </c>
      <c r="C490" s="122">
        <v>1.6052596798267933E-3</v>
      </c>
      <c r="D490" s="122">
        <v>-1.1861141326080898E-4</v>
      </c>
      <c r="E490" s="122">
        <v>1.0174917575636864E-3</v>
      </c>
      <c r="F490" s="122">
        <v>-5.0874587878184312E-5</v>
      </c>
      <c r="G490" s="122">
        <v>1.5506202480992397E-3</v>
      </c>
      <c r="H490" s="122">
        <v>2.5777082888133671E-3</v>
      </c>
      <c r="I490" s="122">
        <v>1.6256502601040416E-3</v>
      </c>
      <c r="J490" s="122">
        <v>2.7891216554751389E-3</v>
      </c>
      <c r="K490" s="122">
        <v>1.5045174867365377E-2</v>
      </c>
      <c r="L490" s="122">
        <v>2.0357107642946827E-4</v>
      </c>
      <c r="M490" s="122">
        <v>9.8294139121103233E-5</v>
      </c>
      <c r="N490" s="122">
        <v>2.6343405971659219E-2</v>
      </c>
    </row>
    <row r="491" spans="1:14" x14ac:dyDescent="0.35">
      <c r="A491" s="147"/>
      <c r="B491" s="122" t="s">
        <v>328</v>
      </c>
      <c r="C491" s="122">
        <v>1.3120601049831952E-3</v>
      </c>
      <c r="D491" s="122">
        <v>-7.1121060229817985E-5</v>
      </c>
      <c r="E491" s="122">
        <v>3.4491498329926784E-4</v>
      </c>
      <c r="F491" s="122">
        <v>-3.4491498329926788E-5</v>
      </c>
      <c r="G491" s="122">
        <v>1.0654632223259673E-3</v>
      </c>
      <c r="H491" s="122">
        <v>4.305425874053325E-4</v>
      </c>
      <c r="I491" s="122">
        <v>1.7869725535414797E-4</v>
      </c>
      <c r="J491" s="122">
        <v>1.3920695198697394E-2</v>
      </c>
      <c r="K491" s="122">
        <v>1.3122964668178486E-2</v>
      </c>
      <c r="L491" s="122">
        <v>7.3474932386936864E-4</v>
      </c>
      <c r="M491" s="122">
        <v>4.1823998269942579E-4</v>
      </c>
      <c r="N491" s="122">
        <v>3.1422714768252841E-2</v>
      </c>
    </row>
    <row r="492" spans="1:14" x14ac:dyDescent="0.35">
      <c r="A492" s="147"/>
      <c r="B492" s="122" t="s">
        <v>331</v>
      </c>
      <c r="C492" s="122">
        <v>1.3120601049831952E-3</v>
      </c>
      <c r="D492" s="122">
        <v>-7.1121060229817985E-5</v>
      </c>
      <c r="E492" s="122">
        <v>6.8982996659853576E-5</v>
      </c>
      <c r="F492" s="122">
        <v>-6.8982996659853564E-6</v>
      </c>
      <c r="G492" s="122">
        <v>1.0654632223259673E-3</v>
      </c>
      <c r="H492" s="122">
        <v>4.305425874053325E-4</v>
      </c>
      <c r="I492" s="122">
        <v>8.6011184229469056E-5</v>
      </c>
      <c r="J492" s="122">
        <v>1.3920695198697394E-2</v>
      </c>
      <c r="K492" s="122">
        <v>1.5911790015172438E-2</v>
      </c>
      <c r="L492" s="122">
        <v>7.1824052151820209E-4</v>
      </c>
      <c r="M492" s="122">
        <v>4.1823998269942579E-4</v>
      </c>
      <c r="N492" s="122">
        <v>3.3854006453795465E-2</v>
      </c>
    </row>
    <row r="493" spans="1:14" x14ac:dyDescent="0.35">
      <c r="A493" s="147"/>
      <c r="B493" s="122" t="s">
        <v>359</v>
      </c>
      <c r="C493" s="122">
        <v>1.1641318209290907E-2</v>
      </c>
      <c r="D493" s="122">
        <v>-2.4161598044969133E-3</v>
      </c>
      <c r="E493" s="122">
        <v>2.964391815717463E-3</v>
      </c>
      <c r="F493" s="122">
        <v>-7.4109795392936575E-4</v>
      </c>
      <c r="G493" s="122">
        <v>2.5454545454545455E-2</v>
      </c>
      <c r="H493" s="122">
        <v>5.4545454545454541E-3</v>
      </c>
      <c r="I493" s="122">
        <v>4.4000000000000003E-3</v>
      </c>
      <c r="J493" s="122">
        <v>3.9641770245885813E-3</v>
      </c>
      <c r="K493" s="122">
        <v>2.9463664725734917E-2</v>
      </c>
      <c r="L493" s="122">
        <v>4.4322605318457206E-3</v>
      </c>
      <c r="M493" s="122">
        <v>1.7593229318620677E-4</v>
      </c>
      <c r="N493" s="122">
        <v>8.4793577751028429E-2</v>
      </c>
    </row>
    <row r="494" spans="1:14" x14ac:dyDescent="0.35">
      <c r="A494" s="147"/>
      <c r="B494" s="122" t="s">
        <v>358</v>
      </c>
      <c r="C494" s="122">
        <v>6.406113752333166E-3</v>
      </c>
      <c r="D494" s="122">
        <v>-1.3054394682679949E-3</v>
      </c>
      <c r="E494" s="122">
        <v>2.964391815717463E-3</v>
      </c>
      <c r="F494" s="122">
        <v>-7.4109795392936575E-4</v>
      </c>
      <c r="G494" s="122">
        <v>2.5454545454545455E-2</v>
      </c>
      <c r="H494" s="122">
        <v>7.2727272727272727E-3</v>
      </c>
      <c r="I494" s="122">
        <v>4.4000000000000003E-3</v>
      </c>
      <c r="J494" s="122">
        <v>2.9533510719556709E-3</v>
      </c>
      <c r="K494" s="122">
        <v>3.1084119898928536E-2</v>
      </c>
      <c r="L494" s="122">
        <v>0</v>
      </c>
      <c r="M494" s="122">
        <v>6.3738697451547754E-3</v>
      </c>
      <c r="N494" s="122">
        <v>8.4862581589164987E-2</v>
      </c>
    </row>
    <row r="495" spans="1:14" x14ac:dyDescent="0.35">
      <c r="A495" s="147"/>
      <c r="B495" s="122" t="s">
        <v>362</v>
      </c>
      <c r="C495" s="122">
        <v>1.2195666695447615E-2</v>
      </c>
      <c r="D495" s="122">
        <v>-2.5312150332824808E-3</v>
      </c>
      <c r="E495" s="122">
        <v>1.552776665375814E-3</v>
      </c>
      <c r="F495" s="122">
        <v>-3.8819416634395349E-4</v>
      </c>
      <c r="G495" s="122">
        <v>2.6666666666666665E-2</v>
      </c>
      <c r="H495" s="122">
        <v>5.7142857142857143E-3</v>
      </c>
      <c r="I495" s="122">
        <v>4.4000000000000003E-3</v>
      </c>
      <c r="J495" s="122">
        <v>3.9641770245885813E-3</v>
      </c>
      <c r="K495" s="122">
        <v>3.3114522643168463E-2</v>
      </c>
      <c r="L495" s="122">
        <v>4.4446685102991906E-3</v>
      </c>
      <c r="M495" s="122">
        <v>1.7593229318620677E-4</v>
      </c>
      <c r="N495" s="122">
        <v>8.9309287013391803E-2</v>
      </c>
    </row>
    <row r="496" spans="1:14" x14ac:dyDescent="0.35">
      <c r="A496" s="147"/>
      <c r="B496" s="122" t="s">
        <v>361</v>
      </c>
      <c r="C496" s="122">
        <v>6.7111667881585542E-3</v>
      </c>
      <c r="D496" s="122">
        <v>-1.3676032524712327E-3</v>
      </c>
      <c r="E496" s="122">
        <v>1.552776665375814E-3</v>
      </c>
      <c r="F496" s="122">
        <v>-3.8819416634395349E-4</v>
      </c>
      <c r="G496" s="122">
        <v>2.6666666666666665E-2</v>
      </c>
      <c r="H496" s="122">
        <v>7.619047619047619E-3</v>
      </c>
      <c r="I496" s="122">
        <v>4.4000000000000003E-3</v>
      </c>
      <c r="J496" s="122">
        <v>2.9533510719556709E-3</v>
      </c>
      <c r="K496" s="122">
        <v>3.4861448144276573E-2</v>
      </c>
      <c r="L496" s="122">
        <v>0</v>
      </c>
      <c r="M496" s="122">
        <v>6.3738697451547754E-3</v>
      </c>
      <c r="N496" s="122">
        <v>8.93825292818205E-2</v>
      </c>
    </row>
    <row r="497" spans="1:14" x14ac:dyDescent="0.35">
      <c r="A497" s="147"/>
      <c r="B497" s="122" t="s">
        <v>367</v>
      </c>
      <c r="C497" s="122">
        <v>7.8296945861849807E-3</v>
      </c>
      <c r="D497" s="122">
        <v>-1.5955371278831049E-3</v>
      </c>
      <c r="E497" s="122">
        <v>2.1135015723170798E-3</v>
      </c>
      <c r="F497" s="122">
        <v>-5.2837539307926996E-4</v>
      </c>
      <c r="G497" s="122">
        <v>3.111111111111111E-2</v>
      </c>
      <c r="H497" s="122">
        <v>8.8888888888888889E-3</v>
      </c>
      <c r="I497" s="122">
        <v>4.4000000000000003E-3</v>
      </c>
      <c r="J497" s="122">
        <v>2.9533510719556709E-3</v>
      </c>
      <c r="K497" s="122">
        <v>3.162902934130532E-2</v>
      </c>
      <c r="L497" s="122">
        <v>0</v>
      </c>
      <c r="M497" s="122">
        <v>6.3738697451547754E-3</v>
      </c>
      <c r="N497" s="122">
        <v>9.3175533795955445E-2</v>
      </c>
    </row>
    <row r="498" spans="1:14" x14ac:dyDescent="0.35">
      <c r="A498" s="147"/>
      <c r="B498" s="122" t="s">
        <v>368</v>
      </c>
      <c r="C498" s="122">
        <v>1.4228277811355551E-2</v>
      </c>
      <c r="D498" s="122">
        <v>-2.9530842054962272E-3</v>
      </c>
      <c r="E498" s="122">
        <v>2.1135015723170798E-3</v>
      </c>
      <c r="F498" s="122">
        <v>-5.2837539307926996E-4</v>
      </c>
      <c r="G498" s="122">
        <v>3.111111111111111E-2</v>
      </c>
      <c r="H498" s="122">
        <v>6.6666666666666662E-3</v>
      </c>
      <c r="I498" s="122">
        <v>4.4000000000000003E-3</v>
      </c>
      <c r="J498" s="122">
        <v>3.9641770245885813E-3</v>
      </c>
      <c r="K498" s="122">
        <v>3.3882163687579639E-2</v>
      </c>
      <c r="L498" s="122">
        <v>5.096941546270925E-3</v>
      </c>
      <c r="M498" s="122">
        <v>1.7593229318620677E-4</v>
      </c>
      <c r="N498" s="122">
        <v>9.8157312114500267E-2</v>
      </c>
    </row>
    <row r="499" spans="1:14" x14ac:dyDescent="0.35">
      <c r="A499" s="147"/>
      <c r="B499" s="122" t="s">
        <v>360</v>
      </c>
      <c r="C499" s="122">
        <v>1.2983934501295575E-2</v>
      </c>
      <c r="D499" s="122">
        <v>-2.5975276068232966E-3</v>
      </c>
      <c r="E499" s="122">
        <v>2.964391815717463E-3</v>
      </c>
      <c r="F499" s="122">
        <v>-7.4109795392936575E-4</v>
      </c>
      <c r="G499" s="122">
        <v>2.5454545454545455E-2</v>
      </c>
      <c r="H499" s="122">
        <v>7.3714603239921801E-3</v>
      </c>
      <c r="I499" s="122">
        <v>4.4000000000000003E-3</v>
      </c>
      <c r="J499" s="122">
        <v>1.0972566388332368E-2</v>
      </c>
      <c r="K499" s="122">
        <v>3.5294919091141033E-2</v>
      </c>
      <c r="L499" s="122">
        <v>2.3979467103649316E-3</v>
      </c>
      <c r="M499" s="122">
        <v>4.5605399770604809E-4</v>
      </c>
      <c r="N499" s="122">
        <v>9.8957192722342394E-2</v>
      </c>
    </row>
    <row r="500" spans="1:14" x14ac:dyDescent="0.35">
      <c r="A500" s="147"/>
      <c r="B500" s="122" t="s">
        <v>363</v>
      </c>
      <c r="C500" s="122">
        <v>1.3602217096595365E-2</v>
      </c>
      <c r="D500" s="122">
        <v>-2.721219397624406E-3</v>
      </c>
      <c r="E500" s="122">
        <v>1.552776665375814E-3</v>
      </c>
      <c r="F500" s="122">
        <v>-3.8819416634395349E-4</v>
      </c>
      <c r="G500" s="122">
        <v>2.6666666666666665E-2</v>
      </c>
      <c r="H500" s="122">
        <v>7.7224822441822839E-3</v>
      </c>
      <c r="I500" s="122">
        <v>4.4000000000000003E-3</v>
      </c>
      <c r="J500" s="122">
        <v>1.0972566388332368E-2</v>
      </c>
      <c r="K500" s="122">
        <v>3.9742443413038342E-2</v>
      </c>
      <c r="L500" s="122">
        <v>2.4091523343629379E-3</v>
      </c>
      <c r="M500" s="122">
        <v>4.5605399770604809E-4</v>
      </c>
      <c r="N500" s="122">
        <v>0.10441494524229147</v>
      </c>
    </row>
    <row r="501" spans="1:14" x14ac:dyDescent="0.35">
      <c r="A501" s="147"/>
      <c r="B501" s="122" t="s">
        <v>369</v>
      </c>
      <c r="C501" s="122">
        <v>1.586925327936126E-2</v>
      </c>
      <c r="D501" s="122">
        <v>-3.1747559638951399E-3</v>
      </c>
      <c r="E501" s="122">
        <v>2.1135015723170798E-3</v>
      </c>
      <c r="F501" s="122">
        <v>-5.2837539307926996E-4</v>
      </c>
      <c r="G501" s="122">
        <v>3.111111111111111E-2</v>
      </c>
      <c r="H501" s="122">
        <v>9.0095626182126638E-3</v>
      </c>
      <c r="I501" s="122">
        <v>4.4000000000000003E-3</v>
      </c>
      <c r="J501" s="122">
        <v>1.0972566388332368E-2</v>
      </c>
      <c r="K501" s="122">
        <v>4.0098188472876384E-2</v>
      </c>
      <c r="L501" s="122">
        <v>2.7242821804416978E-3</v>
      </c>
      <c r="M501" s="122">
        <v>4.5605399770604809E-4</v>
      </c>
      <c r="N501" s="122">
        <v>0.11305138826338421</v>
      </c>
    </row>
    <row r="502" spans="1:14" x14ac:dyDescent="0.35">
      <c r="A502" s="147"/>
      <c r="B502" s="122" t="s">
        <v>364</v>
      </c>
      <c r="C502" s="122">
        <v>9.034262984059592E-3</v>
      </c>
      <c r="D502" s="122">
        <v>-1.8410043783266593E-3</v>
      </c>
      <c r="E502" s="122">
        <v>2.7870350404181278E-3</v>
      </c>
      <c r="F502" s="122">
        <v>-6.9675876010453195E-4</v>
      </c>
      <c r="G502" s="122">
        <v>3.5897435897435902E-2</v>
      </c>
      <c r="H502" s="122">
        <v>1.0256410256410255E-2</v>
      </c>
      <c r="I502" s="122">
        <v>4.4000000000000003E-3</v>
      </c>
      <c r="J502" s="122">
        <v>2.9533510719556709E-3</v>
      </c>
      <c r="K502" s="122">
        <v>4.4482292650851143E-2</v>
      </c>
      <c r="L502" s="122">
        <v>0</v>
      </c>
      <c r="M502" s="122">
        <v>6.3738697451547754E-3</v>
      </c>
      <c r="N502" s="122">
        <v>0.11364689450785428</v>
      </c>
    </row>
    <row r="503" spans="1:14" x14ac:dyDescent="0.35">
      <c r="A503" s="147"/>
      <c r="B503" s="122" t="s">
        <v>365</v>
      </c>
      <c r="C503" s="122">
        <v>1.6417243628487177E-2</v>
      </c>
      <c r="D503" s="122">
        <v>-3.4074048524956467E-3</v>
      </c>
      <c r="E503" s="122">
        <v>2.7870350404181278E-3</v>
      </c>
      <c r="F503" s="122">
        <v>-6.9675876010453195E-4</v>
      </c>
      <c r="G503" s="122">
        <v>3.5897435897435902E-2</v>
      </c>
      <c r="H503" s="122">
        <v>7.6923076923076927E-3</v>
      </c>
      <c r="I503" s="122">
        <v>4.4000000000000003E-3</v>
      </c>
      <c r="J503" s="122">
        <v>3.9641770245885813E-3</v>
      </c>
      <c r="K503" s="122">
        <v>4.3262632152977029E-2</v>
      </c>
      <c r="L503" s="122">
        <v>5.8067591936936253E-3</v>
      </c>
      <c r="M503" s="122">
        <v>1.7593229318620677E-4</v>
      </c>
      <c r="N503" s="122">
        <v>0.11629935931049415</v>
      </c>
    </row>
    <row r="504" spans="1:14" x14ac:dyDescent="0.35">
      <c r="A504" s="147"/>
      <c r="B504" s="122" t="s">
        <v>366</v>
      </c>
      <c r="C504" s="122">
        <v>1.8310676860801452E-2</v>
      </c>
      <c r="D504" s="122">
        <v>-3.6631799583405462E-3</v>
      </c>
      <c r="E504" s="122">
        <v>2.7870350404181278E-3</v>
      </c>
      <c r="F504" s="122">
        <v>-6.9675876010453195E-4</v>
      </c>
      <c r="G504" s="122">
        <v>3.5897435897435902E-2</v>
      </c>
      <c r="H504" s="122">
        <v>1.0395649174860766E-2</v>
      </c>
      <c r="I504" s="122">
        <v>4.4000000000000003E-3</v>
      </c>
      <c r="J504" s="122">
        <v>1.0972566388332368E-2</v>
      </c>
      <c r="K504" s="122">
        <v>5.0594280188657401E-2</v>
      </c>
      <c r="L504" s="122">
        <v>3.0669812360336196E-3</v>
      </c>
      <c r="M504" s="122">
        <v>4.5605399770604809E-4</v>
      </c>
      <c r="N504" s="122">
        <v>0.13252074006580061</v>
      </c>
    </row>
    <row r="505" spans="1:14" x14ac:dyDescent="0.35">
      <c r="A505" s="147"/>
      <c r="B505" s="122" t="s">
        <v>355</v>
      </c>
      <c r="C505" s="122">
        <v>1.2812227504666332E-2</v>
      </c>
      <c r="D505" s="122">
        <v>-2.6108789365359899E-3</v>
      </c>
      <c r="E505" s="122">
        <v>3.9525224209566176E-3</v>
      </c>
      <c r="F505" s="122">
        <v>-9.8813060523915441E-4</v>
      </c>
      <c r="G505" s="122">
        <v>5.0909090909090911E-2</v>
      </c>
      <c r="H505" s="122">
        <v>1.4545454545454545E-2</v>
      </c>
      <c r="I505" s="122">
        <v>4.4000000000000003E-3</v>
      </c>
      <c r="J505" s="122">
        <v>2.9533510719556709E-3</v>
      </c>
      <c r="K505" s="122">
        <v>7.4111531894700183E-2</v>
      </c>
      <c r="L505" s="122">
        <v>0</v>
      </c>
      <c r="M505" s="122">
        <v>6.3738697451547754E-3</v>
      </c>
      <c r="N505" s="122">
        <v>0.16645903855020389</v>
      </c>
    </row>
    <row r="506" spans="1:14" x14ac:dyDescent="0.35">
      <c r="A506" s="147"/>
      <c r="B506" s="122" t="s">
        <v>356</v>
      </c>
      <c r="C506" s="122">
        <v>2.3282636418581814E-2</v>
      </c>
      <c r="D506" s="122">
        <v>-4.8323196089938266E-3</v>
      </c>
      <c r="E506" s="122">
        <v>3.9525224209566176E-3</v>
      </c>
      <c r="F506" s="122">
        <v>-9.8813060523915441E-4</v>
      </c>
      <c r="G506" s="122">
        <v>5.0909090909090911E-2</v>
      </c>
      <c r="H506" s="122">
        <v>1.0909090909090908E-2</v>
      </c>
      <c r="I506" s="122">
        <v>4.4000000000000003E-3</v>
      </c>
      <c r="J506" s="122">
        <v>5.5719568088488311E-3</v>
      </c>
      <c r="K506" s="122">
        <v>7.4923389165429066E-2</v>
      </c>
      <c r="L506" s="122">
        <v>8.0688902521887235E-3</v>
      </c>
      <c r="M506" s="122">
        <v>1.7593229318620677E-4</v>
      </c>
      <c r="N506" s="122">
        <v>0.17637305896314012</v>
      </c>
    </row>
    <row r="507" spans="1:14" x14ac:dyDescent="0.35">
      <c r="A507" s="148"/>
      <c r="B507" s="128" t="s">
        <v>357</v>
      </c>
      <c r="C507" s="128">
        <v>2.5967869002591151E-2</v>
      </c>
      <c r="D507" s="128">
        <v>-5.1950552136465931E-3</v>
      </c>
      <c r="E507" s="128">
        <v>3.9525224209566176E-3</v>
      </c>
      <c r="F507" s="128">
        <v>-9.8813060523915441E-4</v>
      </c>
      <c r="G507" s="128">
        <v>5.0909090909090911E-2</v>
      </c>
      <c r="H507" s="128">
        <v>1.474292064798436E-2</v>
      </c>
      <c r="I507" s="128">
        <v>4.4000000000000003E-3</v>
      </c>
      <c r="J507" s="128">
        <v>1.0972566388332368E-2</v>
      </c>
      <c r="K507" s="128">
        <v>8.4223934738628159E-2</v>
      </c>
      <c r="L507" s="128">
        <v>4.0965734019979272E-3</v>
      </c>
      <c r="M507" s="128">
        <v>4.5605399770604809E-4</v>
      </c>
      <c r="N507" s="128">
        <v>0.19353834568840178</v>
      </c>
    </row>
    <row r="508" spans="1:14" x14ac:dyDescent="0.35">
      <c r="A508" s="149">
        <v>2050</v>
      </c>
      <c r="B508" s="122" t="s">
        <v>377</v>
      </c>
      <c r="C508" s="122">
        <v>1.0347449498978036E-3</v>
      </c>
      <c r="D508" s="122">
        <v>-5.2575506979843073E-5</v>
      </c>
      <c r="E508" s="122">
        <v>6.8982996659853576E-5</v>
      </c>
      <c r="F508" s="122">
        <v>-6.8982996659853564E-6</v>
      </c>
      <c r="G508" s="122">
        <v>1.0654632223259673E-3</v>
      </c>
      <c r="H508" s="122">
        <v>4.305425874053325E-4</v>
      </c>
      <c r="I508" s="122">
        <v>8.6011184229469056E-5</v>
      </c>
      <c r="J508" s="122">
        <v>5.0846159148288761E-4</v>
      </c>
      <c r="K508" s="122">
        <v>3.3539259234580216E-3</v>
      </c>
      <c r="L508" s="122">
        <v>0</v>
      </c>
      <c r="M508" s="122">
        <v>3.9785632626608411E-3</v>
      </c>
      <c r="N508" s="122">
        <v>1.0467221911474348E-2</v>
      </c>
    </row>
    <row r="509" spans="1:14" x14ac:dyDescent="0.35">
      <c r="A509" s="147"/>
      <c r="B509" s="122" t="s">
        <v>374</v>
      </c>
      <c r="C509" s="122">
        <v>1.0347449498978036E-3</v>
      </c>
      <c r="D509" s="122">
        <v>-5.2575506979843073E-5</v>
      </c>
      <c r="E509" s="122">
        <v>6.8982996659853576E-5</v>
      </c>
      <c r="F509" s="122">
        <v>-6.8982996659853564E-6</v>
      </c>
      <c r="G509" s="122">
        <v>1.0654632223259673E-3</v>
      </c>
      <c r="H509" s="122">
        <v>4.305425874053325E-4</v>
      </c>
      <c r="I509" s="122">
        <v>8.9502842587904882E-5</v>
      </c>
      <c r="J509" s="122">
        <v>5.0846159148288761E-4</v>
      </c>
      <c r="K509" s="122">
        <v>3.3555690568031673E-3</v>
      </c>
      <c r="L509" s="122">
        <v>0</v>
      </c>
      <c r="M509" s="122">
        <v>3.9785632626608411E-3</v>
      </c>
      <c r="N509" s="122">
        <v>1.0472356703177929E-2</v>
      </c>
    </row>
    <row r="510" spans="1:14" x14ac:dyDescent="0.35">
      <c r="A510" s="147"/>
      <c r="B510" s="122" t="s">
        <v>373</v>
      </c>
      <c r="C510" s="122">
        <v>1.0347449498978036E-3</v>
      </c>
      <c r="D510" s="122">
        <v>-5.2575506979843073E-5</v>
      </c>
      <c r="E510" s="122">
        <v>6.8982996659853576E-5</v>
      </c>
      <c r="F510" s="122">
        <v>-6.8982996659853564E-6</v>
      </c>
      <c r="G510" s="122">
        <v>1.0654632223259673E-3</v>
      </c>
      <c r="H510" s="122">
        <v>4.305425874053325E-4</v>
      </c>
      <c r="I510" s="122">
        <v>8.6011184229469056E-5</v>
      </c>
      <c r="J510" s="122">
        <v>1.1342718515609E-3</v>
      </c>
      <c r="K510" s="122">
        <v>3.5528777426874734E-3</v>
      </c>
      <c r="L510" s="122">
        <v>0</v>
      </c>
      <c r="M510" s="122">
        <v>3.7755256184454147E-3</v>
      </c>
      <c r="N510" s="122">
        <v>1.1088946346566386E-2</v>
      </c>
    </row>
    <row r="511" spans="1:14" x14ac:dyDescent="0.35">
      <c r="A511" s="147"/>
      <c r="B511" s="122" t="s">
        <v>370</v>
      </c>
      <c r="C511" s="122">
        <v>1.0347449498978036E-3</v>
      </c>
      <c r="D511" s="122">
        <v>-5.2575506979843073E-5</v>
      </c>
      <c r="E511" s="122">
        <v>6.8982996659853576E-5</v>
      </c>
      <c r="F511" s="122">
        <v>-6.8982996659853564E-6</v>
      </c>
      <c r="G511" s="122">
        <v>1.0654632223259673E-3</v>
      </c>
      <c r="H511" s="122">
        <v>4.305425874053325E-4</v>
      </c>
      <c r="I511" s="122">
        <v>8.9502842587904882E-5</v>
      </c>
      <c r="J511" s="122">
        <v>1.1342718515609E-3</v>
      </c>
      <c r="K511" s="122">
        <v>3.5545208760326182E-3</v>
      </c>
      <c r="L511" s="122">
        <v>0</v>
      </c>
      <c r="M511" s="122">
        <v>3.7755256184454147E-3</v>
      </c>
      <c r="N511" s="122">
        <v>1.1094081138269967E-2</v>
      </c>
    </row>
    <row r="512" spans="1:14" x14ac:dyDescent="0.35">
      <c r="A512" s="147"/>
      <c r="B512" s="122" t="s">
        <v>333</v>
      </c>
      <c r="C512" s="122">
        <v>1.2551060916366106E-3</v>
      </c>
      <c r="D512" s="122">
        <v>-1.2383409019375524E-4</v>
      </c>
      <c r="E512" s="122">
        <v>6.8982996659853576E-5</v>
      </c>
      <c r="F512" s="122">
        <v>-6.8982996659853564E-6</v>
      </c>
      <c r="G512" s="122">
        <v>1.0654632223259673E-3</v>
      </c>
      <c r="H512" s="122">
        <v>2.9878618113912231E-4</v>
      </c>
      <c r="I512" s="122">
        <v>8.6011184229469056E-5</v>
      </c>
      <c r="J512" s="122">
        <v>5.06422406492032E-3</v>
      </c>
      <c r="K512" s="122">
        <v>3.6343278663374659E-3</v>
      </c>
      <c r="L512" s="122">
        <v>5.8274406276008061E-4</v>
      </c>
      <c r="M512" s="122">
        <v>1.3087655835441336E-6</v>
      </c>
      <c r="N512" s="122">
        <v>1.1926222045732694E-2</v>
      </c>
    </row>
    <row r="513" spans="1:14" x14ac:dyDescent="0.35">
      <c r="A513" s="147"/>
      <c r="B513" s="122" t="s">
        <v>324</v>
      </c>
      <c r="C513" s="122">
        <v>1.2551060916366106E-3</v>
      </c>
      <c r="D513" s="122">
        <v>-1.2383409019375524E-4</v>
      </c>
      <c r="E513" s="122">
        <v>6.8982996659853576E-5</v>
      </c>
      <c r="F513" s="122">
        <v>-6.8982996659853564E-6</v>
      </c>
      <c r="G513" s="122">
        <v>1.0654632223259673E-3</v>
      </c>
      <c r="H513" s="122">
        <v>2.9878618113912231E-4</v>
      </c>
      <c r="I513" s="122">
        <v>8.9502842587904882E-5</v>
      </c>
      <c r="J513" s="122">
        <v>5.06422406492032E-3</v>
      </c>
      <c r="K513" s="122">
        <v>3.6359709996826124E-3</v>
      </c>
      <c r="L513" s="122">
        <v>5.8300752996403703E-4</v>
      </c>
      <c r="M513" s="122">
        <v>1.3087655835441336E-6</v>
      </c>
      <c r="N513" s="122">
        <v>1.1931620304640232E-2</v>
      </c>
    </row>
    <row r="514" spans="1:14" x14ac:dyDescent="0.35">
      <c r="A514" s="147"/>
      <c r="B514" s="122" t="s">
        <v>336</v>
      </c>
      <c r="C514" s="122">
        <v>1.0902430594344164E-3</v>
      </c>
      <c r="D514" s="122">
        <v>-1.6353645891516245E-4</v>
      </c>
      <c r="E514" s="122">
        <v>7.6311881817276459E-4</v>
      </c>
      <c r="F514" s="122">
        <v>-3.8155940908638231E-5</v>
      </c>
      <c r="G514" s="122">
        <v>1.6256502601040416E-3</v>
      </c>
      <c r="H514" s="122">
        <v>1.6256502601040416E-3</v>
      </c>
      <c r="I514" s="122">
        <v>1.7507002801120447E-3</v>
      </c>
      <c r="J514" s="122">
        <v>9.5501545114864679E-4</v>
      </c>
      <c r="K514" s="122">
        <v>4.3229024027396723E-3</v>
      </c>
      <c r="L514" s="122">
        <v>0</v>
      </c>
      <c r="M514" s="122">
        <v>1.6221602331949914E-7</v>
      </c>
      <c r="N514" s="122">
        <v>1.1931750348015146E-2</v>
      </c>
    </row>
    <row r="515" spans="1:14" x14ac:dyDescent="0.35">
      <c r="A515" s="147"/>
      <c r="B515" s="122" t="s">
        <v>332</v>
      </c>
      <c r="C515" s="122">
        <v>1.3569040676564852E-3</v>
      </c>
      <c r="D515" s="122">
        <v>-1.3401388779574273E-4</v>
      </c>
      <c r="E515" s="122">
        <v>6.8982996659853576E-5</v>
      </c>
      <c r="F515" s="122">
        <v>-6.8982996659853564E-6</v>
      </c>
      <c r="G515" s="122">
        <v>1.0654632223259673E-3</v>
      </c>
      <c r="H515" s="122">
        <v>2.9878618113912231E-4</v>
      </c>
      <c r="I515" s="122">
        <v>8.6011184229469056E-5</v>
      </c>
      <c r="J515" s="122">
        <v>4.940203737995261E-3</v>
      </c>
      <c r="K515" s="122">
        <v>3.6190681758916177E-3</v>
      </c>
      <c r="L515" s="122">
        <v>6.7168621727937711E-4</v>
      </c>
      <c r="M515" s="122">
        <v>1.2840718932885571E-6</v>
      </c>
      <c r="N515" s="122">
        <v>1.1967477667608714E-2</v>
      </c>
    </row>
    <row r="516" spans="1:14" x14ac:dyDescent="0.35">
      <c r="A516" s="147"/>
      <c r="B516" s="122" t="s">
        <v>323</v>
      </c>
      <c r="C516" s="122">
        <v>1.3569040676564852E-3</v>
      </c>
      <c r="D516" s="122">
        <v>-1.3401388779574273E-4</v>
      </c>
      <c r="E516" s="122">
        <v>6.8982996659853576E-5</v>
      </c>
      <c r="F516" s="122">
        <v>-6.8982996659853564E-6</v>
      </c>
      <c r="G516" s="122">
        <v>1.0654632223259673E-3</v>
      </c>
      <c r="H516" s="122">
        <v>2.9878618113912231E-4</v>
      </c>
      <c r="I516" s="122">
        <v>8.9502842587904882E-5</v>
      </c>
      <c r="J516" s="122">
        <v>4.940203737995261E-3</v>
      </c>
      <c r="K516" s="122">
        <v>3.6207113092367642E-3</v>
      </c>
      <c r="L516" s="122">
        <v>6.7199117700034606E-4</v>
      </c>
      <c r="M516" s="122">
        <v>1.2840718932885571E-6</v>
      </c>
      <c r="N516" s="122">
        <v>1.1972917419033264E-2</v>
      </c>
    </row>
    <row r="517" spans="1:14" x14ac:dyDescent="0.35">
      <c r="A517" s="147"/>
      <c r="B517" s="122" t="s">
        <v>338</v>
      </c>
      <c r="C517" s="122">
        <v>8.7510622887057403E-4</v>
      </c>
      <c r="D517" s="122">
        <v>-1.3078063744341263E-4</v>
      </c>
      <c r="E517" s="122">
        <v>7.6311881817276459E-4</v>
      </c>
      <c r="F517" s="122">
        <v>-3.8155940908638231E-5</v>
      </c>
      <c r="G517" s="122">
        <v>1.6256502601040416E-3</v>
      </c>
      <c r="H517" s="122">
        <v>1.4052359304229719E-3</v>
      </c>
      <c r="I517" s="122">
        <v>1.7507002801120447E-3</v>
      </c>
      <c r="J517" s="122">
        <v>1.6572125060485827E-3</v>
      </c>
      <c r="K517" s="122">
        <v>4.4914442387143094E-3</v>
      </c>
      <c r="L517" s="122">
        <v>1.4517799559480606E-4</v>
      </c>
      <c r="M517" s="122">
        <v>3.9043051812366417E-7</v>
      </c>
      <c r="N517" s="122">
        <v>1.2545100110206167E-2</v>
      </c>
    </row>
    <row r="518" spans="1:14" x14ac:dyDescent="0.35">
      <c r="A518" s="147"/>
      <c r="B518" s="122" t="s">
        <v>375</v>
      </c>
      <c r="C518" s="122">
        <v>1.0347449498978036E-3</v>
      </c>
      <c r="D518" s="122">
        <v>-5.2575506979843073E-5</v>
      </c>
      <c r="E518" s="122">
        <v>3.4491498329926784E-4</v>
      </c>
      <c r="F518" s="122">
        <v>-3.4491498329926788E-5</v>
      </c>
      <c r="G518" s="122">
        <v>1.0654632223259673E-3</v>
      </c>
      <c r="H518" s="122">
        <v>4.305425874053325E-4</v>
      </c>
      <c r="I518" s="122">
        <v>1.7869725535414797E-4</v>
      </c>
      <c r="J518" s="122">
        <v>5.0846159148288761E-4</v>
      </c>
      <c r="K518" s="122">
        <v>5.5987377442056419E-3</v>
      </c>
      <c r="L518" s="122">
        <v>0</v>
      </c>
      <c r="M518" s="122">
        <v>3.9785632626608411E-3</v>
      </c>
      <c r="N518" s="122">
        <v>1.3053058591322119E-2</v>
      </c>
    </row>
    <row r="519" spans="1:14" x14ac:dyDescent="0.35">
      <c r="A519" s="147"/>
      <c r="B519" s="122" t="s">
        <v>337</v>
      </c>
      <c r="C519" s="122">
        <v>1.364623687619921E-3</v>
      </c>
      <c r="D519" s="122">
        <v>-2.0420825625581466E-4</v>
      </c>
      <c r="E519" s="122">
        <v>7.6311881817276459E-4</v>
      </c>
      <c r="F519" s="122">
        <v>-3.8155940908638231E-5</v>
      </c>
      <c r="G519" s="122">
        <v>1.6256502601040416E-3</v>
      </c>
      <c r="H519" s="122">
        <v>2.0347764046985059E-3</v>
      </c>
      <c r="I519" s="122">
        <v>1.7507002801120447E-3</v>
      </c>
      <c r="J519" s="122">
        <v>1.0147039168454373E-3</v>
      </c>
      <c r="K519" s="122">
        <v>4.7180775412858002E-3</v>
      </c>
      <c r="L519" s="122">
        <v>1.5284911904488337E-4</v>
      </c>
      <c r="M519" s="122">
        <v>1.7235452477696371E-7</v>
      </c>
      <c r="N519" s="122">
        <v>1.3182308185243723E-2</v>
      </c>
    </row>
    <row r="520" spans="1:14" x14ac:dyDescent="0.35">
      <c r="A520" s="147"/>
      <c r="B520" s="122" t="s">
        <v>376</v>
      </c>
      <c r="C520" s="122">
        <v>1.0347449498978036E-3</v>
      </c>
      <c r="D520" s="122">
        <v>-5.2575506979843073E-5</v>
      </c>
      <c r="E520" s="122">
        <v>6.8982996659853576E-5</v>
      </c>
      <c r="F520" s="122">
        <v>-6.8982996659853564E-6</v>
      </c>
      <c r="G520" s="122">
        <v>1.0654632223259673E-3</v>
      </c>
      <c r="H520" s="122">
        <v>4.305425874053325E-4</v>
      </c>
      <c r="I520" s="122">
        <v>8.6011184229469056E-5</v>
      </c>
      <c r="J520" s="122">
        <v>5.0846159148288761E-4</v>
      </c>
      <c r="K520" s="122">
        <v>6.5788546960138137E-3</v>
      </c>
      <c r="L520" s="122">
        <v>0</v>
      </c>
      <c r="M520" s="122">
        <v>3.9785632626608411E-3</v>
      </c>
      <c r="N520" s="122">
        <v>1.3692150684030142E-2</v>
      </c>
    </row>
    <row r="521" spans="1:14" x14ac:dyDescent="0.35">
      <c r="A521" s="147"/>
      <c r="B521" s="122" t="s">
        <v>371</v>
      </c>
      <c r="C521" s="122">
        <v>1.0347449498978036E-3</v>
      </c>
      <c r="D521" s="122">
        <v>-5.2575506979843073E-5</v>
      </c>
      <c r="E521" s="122">
        <v>3.4491498329926784E-4</v>
      </c>
      <c r="F521" s="122">
        <v>-3.4491498329926788E-5</v>
      </c>
      <c r="G521" s="122">
        <v>1.0654632223259673E-3</v>
      </c>
      <c r="H521" s="122">
        <v>4.305425874053325E-4</v>
      </c>
      <c r="I521" s="122">
        <v>1.7869725535414797E-4</v>
      </c>
      <c r="J521" s="122">
        <v>1.1342718515609E-3</v>
      </c>
      <c r="K521" s="122">
        <v>5.9133592257777992E-3</v>
      </c>
      <c r="L521" s="122">
        <v>0</v>
      </c>
      <c r="M521" s="122">
        <v>3.7755256184454147E-3</v>
      </c>
      <c r="N521" s="122">
        <v>1.3790452688756862E-2</v>
      </c>
    </row>
    <row r="522" spans="1:14" x14ac:dyDescent="0.35">
      <c r="A522" s="147"/>
      <c r="B522" s="122" t="s">
        <v>372</v>
      </c>
      <c r="C522" s="122">
        <v>1.0347449498978036E-3</v>
      </c>
      <c r="D522" s="122">
        <v>-5.2575506979843073E-5</v>
      </c>
      <c r="E522" s="122">
        <v>6.8982996659853576E-5</v>
      </c>
      <c r="F522" s="122">
        <v>-6.8982996659853564E-6</v>
      </c>
      <c r="G522" s="122">
        <v>1.0654632223259673E-3</v>
      </c>
      <c r="H522" s="122">
        <v>4.305425874053325E-4</v>
      </c>
      <c r="I522" s="122">
        <v>8.6011184229469056E-5</v>
      </c>
      <c r="J522" s="122">
        <v>1.1342718515609E-3</v>
      </c>
      <c r="K522" s="122">
        <v>6.9691063414254305E-3</v>
      </c>
      <c r="L522" s="122">
        <v>0</v>
      </c>
      <c r="M522" s="122">
        <v>3.7755256184454147E-3</v>
      </c>
      <c r="N522" s="122">
        <v>1.4505174945304343E-2</v>
      </c>
    </row>
    <row r="523" spans="1:14" x14ac:dyDescent="0.35">
      <c r="A523" s="147"/>
      <c r="B523" s="122" t="s">
        <v>327</v>
      </c>
      <c r="C523" s="122">
        <v>1.2551060916366106E-3</v>
      </c>
      <c r="D523" s="122">
        <v>-1.2383409019375524E-4</v>
      </c>
      <c r="E523" s="122">
        <v>3.4491498329926784E-4</v>
      </c>
      <c r="F523" s="122">
        <v>-3.4491498329926788E-5</v>
      </c>
      <c r="G523" s="122">
        <v>1.0654632223259673E-3</v>
      </c>
      <c r="H523" s="122">
        <v>2.9878618113912231E-4</v>
      </c>
      <c r="I523" s="122">
        <v>1.7869725535414797E-4</v>
      </c>
      <c r="J523" s="122">
        <v>5.06422406492032E-3</v>
      </c>
      <c r="K523" s="122">
        <v>6.0421640724801131E-3</v>
      </c>
      <c r="L523" s="122">
        <v>6.126406509114387E-4</v>
      </c>
      <c r="M523" s="122">
        <v>1.3087655835441336E-6</v>
      </c>
      <c r="N523" s="122">
        <v>1.470497969912685E-2</v>
      </c>
    </row>
    <row r="524" spans="1:14" x14ac:dyDescent="0.35">
      <c r="A524" s="147"/>
      <c r="B524" s="122" t="s">
        <v>326</v>
      </c>
      <c r="C524" s="122">
        <v>1.3569040676564852E-3</v>
      </c>
      <c r="D524" s="122">
        <v>-1.3401388779574273E-4</v>
      </c>
      <c r="E524" s="122">
        <v>3.4491498329926784E-4</v>
      </c>
      <c r="F524" s="122">
        <v>-3.4491498329926788E-5</v>
      </c>
      <c r="G524" s="122">
        <v>1.0654632223259673E-3</v>
      </c>
      <c r="H524" s="122">
        <v>2.9878618113912231E-4</v>
      </c>
      <c r="I524" s="122">
        <v>1.7869725535414797E-4</v>
      </c>
      <c r="J524" s="122">
        <v>4.940203737995261E-3</v>
      </c>
      <c r="K524" s="122">
        <v>6.0180324689843544E-3</v>
      </c>
      <c r="L524" s="122">
        <v>7.062911132346382E-4</v>
      </c>
      <c r="M524" s="122">
        <v>1.2840718932885571E-6</v>
      </c>
      <c r="N524" s="122">
        <v>1.4742071715756864E-2</v>
      </c>
    </row>
    <row r="525" spans="1:14" x14ac:dyDescent="0.35">
      <c r="A525" s="147"/>
      <c r="B525" s="122" t="s">
        <v>334</v>
      </c>
      <c r="C525" s="122">
        <v>1.0397745068075209E-3</v>
      </c>
      <c r="D525" s="122">
        <v>-1.0288771335031333E-4</v>
      </c>
      <c r="E525" s="122">
        <v>6.8982996659853576E-5</v>
      </c>
      <c r="F525" s="122">
        <v>-6.8982996659853564E-6</v>
      </c>
      <c r="G525" s="122">
        <v>1.0654632223259673E-3</v>
      </c>
      <c r="H525" s="122">
        <v>4.305425874053325E-4</v>
      </c>
      <c r="I525" s="122">
        <v>8.6011184229469056E-5</v>
      </c>
      <c r="J525" s="122">
        <v>7.4748051717039628E-3</v>
      </c>
      <c r="K525" s="122">
        <v>4.7394124851903377E-3</v>
      </c>
      <c r="L525" s="122">
        <v>4.1963548045956083E-4</v>
      </c>
      <c r="M525" s="122">
        <v>1.6612755816924542E-6</v>
      </c>
      <c r="N525" s="122">
        <v>1.5216502897347399E-2</v>
      </c>
    </row>
    <row r="526" spans="1:14" x14ac:dyDescent="0.35">
      <c r="A526" s="147"/>
      <c r="B526" s="122" t="s">
        <v>325</v>
      </c>
      <c r="C526" s="122">
        <v>1.0397745068075209E-3</v>
      </c>
      <c r="D526" s="122">
        <v>-1.0288771335031333E-4</v>
      </c>
      <c r="E526" s="122">
        <v>6.8982996659853576E-5</v>
      </c>
      <c r="F526" s="122">
        <v>-6.8982996659853564E-6</v>
      </c>
      <c r="G526" s="122">
        <v>1.0654632223259673E-3</v>
      </c>
      <c r="H526" s="122">
        <v>4.305425874053325E-4</v>
      </c>
      <c r="I526" s="122">
        <v>8.9502842587904882E-5</v>
      </c>
      <c r="J526" s="122">
        <v>7.4748051717039628E-3</v>
      </c>
      <c r="K526" s="122">
        <v>4.7410556185354842E-3</v>
      </c>
      <c r="L526" s="122">
        <v>4.1978096622449605E-4</v>
      </c>
      <c r="M526" s="122">
        <v>1.6612755816924542E-6</v>
      </c>
      <c r="N526" s="122">
        <v>1.5221783174815916E-2</v>
      </c>
    </row>
    <row r="527" spans="1:14" x14ac:dyDescent="0.35">
      <c r="A527" s="147"/>
      <c r="B527" s="122" t="s">
        <v>330</v>
      </c>
      <c r="C527" s="122">
        <v>1.2551060916366106E-3</v>
      </c>
      <c r="D527" s="122">
        <v>-1.2383409019375524E-4</v>
      </c>
      <c r="E527" s="122">
        <v>6.8982996659853576E-5</v>
      </c>
      <c r="F527" s="122">
        <v>-6.8982996659853564E-6</v>
      </c>
      <c r="G527" s="122">
        <v>1.0654632223259673E-3</v>
      </c>
      <c r="H527" s="122">
        <v>2.9878618113912231E-4</v>
      </c>
      <c r="I527" s="122">
        <v>8.6011184229469056E-5</v>
      </c>
      <c r="J527" s="122">
        <v>5.06422406492032E-3</v>
      </c>
      <c r="K527" s="122">
        <v>7.1288738916619543E-3</v>
      </c>
      <c r="L527" s="122">
        <v>5.8274406276008061E-4</v>
      </c>
      <c r="M527" s="122">
        <v>1.3087655835441336E-6</v>
      </c>
      <c r="N527" s="122">
        <v>1.5420768071057184E-2</v>
      </c>
    </row>
    <row r="528" spans="1:14" x14ac:dyDescent="0.35">
      <c r="A528" s="147"/>
      <c r="B528" s="122" t="s">
        <v>329</v>
      </c>
      <c r="C528" s="122">
        <v>1.3569040676564852E-3</v>
      </c>
      <c r="D528" s="122">
        <v>-1.3401388779574273E-4</v>
      </c>
      <c r="E528" s="122">
        <v>6.8982996659853576E-5</v>
      </c>
      <c r="F528" s="122">
        <v>-6.8982996659853564E-6</v>
      </c>
      <c r="G528" s="122">
        <v>1.0654632223259673E-3</v>
      </c>
      <c r="H528" s="122">
        <v>2.9878618113912231E-4</v>
      </c>
      <c r="I528" s="122">
        <v>8.6011184229469056E-5</v>
      </c>
      <c r="J528" s="122">
        <v>4.940203737995261E-3</v>
      </c>
      <c r="K528" s="122">
        <v>7.0989414219412511E-3</v>
      </c>
      <c r="L528" s="122">
        <v>6.7168621727937711E-4</v>
      </c>
      <c r="M528" s="122">
        <v>1.2840718932885571E-6</v>
      </c>
      <c r="N528" s="122">
        <v>1.5447350913658347E-2</v>
      </c>
    </row>
    <row r="529" spans="1:14" x14ac:dyDescent="0.35">
      <c r="A529" s="147"/>
      <c r="B529" s="122" t="s">
        <v>335</v>
      </c>
      <c r="C529" s="122">
        <v>7.6317014160409149E-4</v>
      </c>
      <c r="D529" s="122">
        <v>-3.832836099071531E-5</v>
      </c>
      <c r="E529" s="122">
        <v>7.6311881817276459E-4</v>
      </c>
      <c r="F529" s="122">
        <v>-3.8155940908638231E-5</v>
      </c>
      <c r="G529" s="122">
        <v>1.6256502601040416E-3</v>
      </c>
      <c r="H529" s="122">
        <v>2.6260504201680674E-3</v>
      </c>
      <c r="I529" s="122">
        <v>1.7507002801120447E-3</v>
      </c>
      <c r="J529" s="122">
        <v>6.1155198507974618E-4</v>
      </c>
      <c r="K529" s="122">
        <v>5.7250706595787359E-3</v>
      </c>
      <c r="L529" s="122">
        <v>0</v>
      </c>
      <c r="M529" s="122">
        <v>2.0378339096479639E-3</v>
      </c>
      <c r="N529" s="122">
        <v>1.5826662172568104E-2</v>
      </c>
    </row>
    <row r="530" spans="1:14" x14ac:dyDescent="0.35">
      <c r="A530" s="147"/>
      <c r="B530" s="122" t="s">
        <v>348</v>
      </c>
      <c r="C530" s="122">
        <v>1.0902430594344164E-3</v>
      </c>
      <c r="D530" s="122">
        <v>-1.6353645891516245E-4</v>
      </c>
      <c r="E530" s="122">
        <v>7.6311881817276459E-4</v>
      </c>
      <c r="F530" s="122">
        <v>-3.8155940908638231E-5</v>
      </c>
      <c r="G530" s="122">
        <v>3.6264505802320927E-3</v>
      </c>
      <c r="H530" s="122">
        <v>1.6256502601040416E-3</v>
      </c>
      <c r="I530" s="122">
        <v>4.0016006402561026E-3</v>
      </c>
      <c r="J530" s="122">
        <v>9.5501545114864679E-4</v>
      </c>
      <c r="K530" s="122">
        <v>4.6421124195307768E-3</v>
      </c>
      <c r="L530" s="122">
        <v>0</v>
      </c>
      <c r="M530" s="122">
        <v>1.6221602331949914E-7</v>
      </c>
      <c r="N530" s="122">
        <v>1.650266104507836E-2</v>
      </c>
    </row>
    <row r="531" spans="1:14" x14ac:dyDescent="0.35">
      <c r="A531" s="147"/>
      <c r="B531" s="122" t="s">
        <v>344</v>
      </c>
      <c r="C531" s="122">
        <v>1.0902430594344164E-3</v>
      </c>
      <c r="D531" s="122">
        <v>-1.6353645891516245E-4</v>
      </c>
      <c r="E531" s="122">
        <v>5.087458787818432E-4</v>
      </c>
      <c r="F531" s="122">
        <v>-2.5437293939092156E-5</v>
      </c>
      <c r="G531" s="122">
        <v>1.525610244097639E-3</v>
      </c>
      <c r="H531" s="122">
        <v>1.6256502601040416E-3</v>
      </c>
      <c r="I531" s="122">
        <v>1.6256502601040416E-3</v>
      </c>
      <c r="J531" s="122">
        <v>9.5501545114864679E-4</v>
      </c>
      <c r="K531" s="122">
        <v>9.6655644625896486E-3</v>
      </c>
      <c r="L531" s="122">
        <v>0</v>
      </c>
      <c r="M531" s="122">
        <v>1.6221602331949914E-7</v>
      </c>
      <c r="N531" s="122">
        <v>1.6807668079429343E-2</v>
      </c>
    </row>
    <row r="532" spans="1:14" x14ac:dyDescent="0.35">
      <c r="A532" s="147"/>
      <c r="B532" s="122" t="s">
        <v>350</v>
      </c>
      <c r="C532" s="122">
        <v>8.7510622887057403E-4</v>
      </c>
      <c r="D532" s="122">
        <v>-1.3078063744341263E-4</v>
      </c>
      <c r="E532" s="122">
        <v>7.6311881817276459E-4</v>
      </c>
      <c r="F532" s="122">
        <v>-3.8155940908638231E-5</v>
      </c>
      <c r="G532" s="122">
        <v>3.6264505802320927E-3</v>
      </c>
      <c r="H532" s="122">
        <v>1.4052359304229719E-3</v>
      </c>
      <c r="I532" s="122">
        <v>4.0016006402561026E-3</v>
      </c>
      <c r="J532" s="122">
        <v>1.6572125060485827E-3</v>
      </c>
      <c r="K532" s="122">
        <v>4.7586351703280579E-3</v>
      </c>
      <c r="L532" s="122">
        <v>2.2248164432702583E-4</v>
      </c>
      <c r="M532" s="122">
        <v>3.9043051812366417E-7</v>
      </c>
      <c r="N532" s="122">
        <v>1.7141295370824247E-2</v>
      </c>
    </row>
    <row r="533" spans="1:14" x14ac:dyDescent="0.35">
      <c r="A533" s="147"/>
      <c r="B533" s="122" t="s">
        <v>346</v>
      </c>
      <c r="C533" s="122">
        <v>8.7510622887057403E-4</v>
      </c>
      <c r="D533" s="122">
        <v>-1.3078063744341263E-4</v>
      </c>
      <c r="E533" s="122">
        <v>5.087458787818432E-4</v>
      </c>
      <c r="F533" s="122">
        <v>-2.5437293939092156E-5</v>
      </c>
      <c r="G533" s="122">
        <v>1.525610244097639E-3</v>
      </c>
      <c r="H533" s="122">
        <v>1.4052359304229719E-3</v>
      </c>
      <c r="I533" s="122">
        <v>1.6256502601040416E-3</v>
      </c>
      <c r="J533" s="122">
        <v>1.6572125060485827E-3</v>
      </c>
      <c r="K533" s="122">
        <v>1.0068192181862393E-2</v>
      </c>
      <c r="L533" s="122">
        <v>1.3622923882435339E-4</v>
      </c>
      <c r="M533" s="122">
        <v>3.9043051812366417E-7</v>
      </c>
      <c r="N533" s="122">
        <v>1.7646154968148021E-2</v>
      </c>
    </row>
    <row r="534" spans="1:14" x14ac:dyDescent="0.35">
      <c r="A534" s="147"/>
      <c r="B534" s="122" t="s">
        <v>352</v>
      </c>
      <c r="C534" s="122">
        <v>8.7219444754753307E-4</v>
      </c>
      <c r="D534" s="122">
        <v>-1.3082916713212997E-4</v>
      </c>
      <c r="E534" s="122">
        <v>5.0874587878184309E-4</v>
      </c>
      <c r="F534" s="122">
        <v>-2.5437293939092159E-5</v>
      </c>
      <c r="G534" s="122">
        <v>1.3005202080832333E-3</v>
      </c>
      <c r="H534" s="122">
        <v>1.3005202080832333E-3</v>
      </c>
      <c r="I534" s="122">
        <v>1.4005602240896359E-3</v>
      </c>
      <c r="J534" s="122">
        <v>7.6401236091891737E-4</v>
      </c>
      <c r="K534" s="122">
        <v>1.165780416485245E-2</v>
      </c>
      <c r="L534" s="122">
        <v>0</v>
      </c>
      <c r="M534" s="122">
        <v>1.2977281865559933E-7</v>
      </c>
      <c r="N534" s="122">
        <v>1.7648220804104279E-2</v>
      </c>
    </row>
    <row r="535" spans="1:14" x14ac:dyDescent="0.35">
      <c r="A535" s="147"/>
      <c r="B535" s="122" t="s">
        <v>349</v>
      </c>
      <c r="C535" s="122">
        <v>1.364623687619921E-3</v>
      </c>
      <c r="D535" s="122">
        <v>-2.0420825625581466E-4</v>
      </c>
      <c r="E535" s="122">
        <v>7.6311881817276459E-4</v>
      </c>
      <c r="F535" s="122">
        <v>-3.8155940908638231E-5</v>
      </c>
      <c r="G535" s="122">
        <v>3.6264505802320927E-3</v>
      </c>
      <c r="H535" s="122">
        <v>2.0347764046985059E-3</v>
      </c>
      <c r="I535" s="122">
        <v>4.0016006402561026E-3</v>
      </c>
      <c r="J535" s="122">
        <v>1.0147039168454373E-3</v>
      </c>
      <c r="K535" s="122">
        <v>4.9153199227231631E-3</v>
      </c>
      <c r="L535" s="122">
        <v>2.3032795284449147E-4</v>
      </c>
      <c r="M535" s="122">
        <v>1.7235452477696371E-7</v>
      </c>
      <c r="N535" s="122">
        <v>1.7708730080752806E-2</v>
      </c>
    </row>
    <row r="536" spans="1:14" x14ac:dyDescent="0.35">
      <c r="A536" s="147"/>
      <c r="B536" s="122" t="s">
        <v>340</v>
      </c>
      <c r="C536" s="122">
        <v>1.0902430594344164E-3</v>
      </c>
      <c r="D536" s="122">
        <v>-1.6353645891516245E-4</v>
      </c>
      <c r="E536" s="122">
        <v>1.0174917575636864E-3</v>
      </c>
      <c r="F536" s="122">
        <v>-5.0874587878184312E-5</v>
      </c>
      <c r="G536" s="122">
        <v>1.5506202480992397E-3</v>
      </c>
      <c r="H536" s="122">
        <v>1.6256502601040416E-3</v>
      </c>
      <c r="I536" s="122">
        <v>1.6256502601040416E-3</v>
      </c>
      <c r="J536" s="122">
        <v>9.5501545114864679E-4</v>
      </c>
      <c r="K536" s="122">
        <v>1.0416980293810559E-2</v>
      </c>
      <c r="L536" s="122">
        <v>0</v>
      </c>
      <c r="M536" s="122">
        <v>1.6221602331949914E-7</v>
      </c>
      <c r="N536" s="122">
        <v>1.8067402499494605E-2</v>
      </c>
    </row>
    <row r="537" spans="1:14" x14ac:dyDescent="0.35">
      <c r="A537" s="147"/>
      <c r="B537" s="122" t="s">
        <v>354</v>
      </c>
      <c r="C537" s="122">
        <v>7.0008498309645929E-4</v>
      </c>
      <c r="D537" s="122">
        <v>-1.046245099547301E-4</v>
      </c>
      <c r="E537" s="122">
        <v>5.0874587878184309E-4</v>
      </c>
      <c r="F537" s="122">
        <v>-2.5437293939092159E-5</v>
      </c>
      <c r="G537" s="122">
        <v>1.3005202080832333E-3</v>
      </c>
      <c r="H537" s="122">
        <v>1.1241887443383775E-3</v>
      </c>
      <c r="I537" s="122">
        <v>1.4005602240896359E-3</v>
      </c>
      <c r="J537" s="122">
        <v>1.3257700048388663E-3</v>
      </c>
      <c r="K537" s="122">
        <v>1.212035787024951E-2</v>
      </c>
      <c r="L537" s="122">
        <v>9.1028915530830777E-5</v>
      </c>
      <c r="M537" s="122">
        <v>3.1234441449893134E-7</v>
      </c>
      <c r="N537" s="122">
        <v>1.8441507369529434E-2</v>
      </c>
    </row>
    <row r="538" spans="1:14" x14ac:dyDescent="0.35">
      <c r="A538" s="147"/>
      <c r="B538" s="122" t="s">
        <v>345</v>
      </c>
      <c r="C538" s="122">
        <v>1.364623687619921E-3</v>
      </c>
      <c r="D538" s="122">
        <v>-2.0420825625581466E-4</v>
      </c>
      <c r="E538" s="122">
        <v>5.087458787818432E-4</v>
      </c>
      <c r="F538" s="122">
        <v>-2.5437293939092156E-5</v>
      </c>
      <c r="G538" s="122">
        <v>1.525610244097639E-3</v>
      </c>
      <c r="H538" s="122">
        <v>2.0347764046985059E-3</v>
      </c>
      <c r="I538" s="122">
        <v>1.6256502601040416E-3</v>
      </c>
      <c r="J538" s="122">
        <v>1.0147039168454373E-3</v>
      </c>
      <c r="K538" s="122">
        <v>1.0609593960227624E-2</v>
      </c>
      <c r="L538" s="122">
        <v>1.4388008265524624E-4</v>
      </c>
      <c r="M538" s="122">
        <v>1.7235452477696371E-7</v>
      </c>
      <c r="N538" s="122">
        <v>1.8598111239360126E-2</v>
      </c>
    </row>
    <row r="539" spans="1:14" x14ac:dyDescent="0.35">
      <c r="A539" s="147"/>
      <c r="B539" s="122" t="s">
        <v>328</v>
      </c>
      <c r="C539" s="122">
        <v>1.0397745068075209E-3</v>
      </c>
      <c r="D539" s="122">
        <v>-1.0288771335031333E-4</v>
      </c>
      <c r="E539" s="122">
        <v>3.4491498329926784E-4</v>
      </c>
      <c r="F539" s="122">
        <v>-3.4491498329926788E-5</v>
      </c>
      <c r="G539" s="122">
        <v>1.0654632223259673E-3</v>
      </c>
      <c r="H539" s="122">
        <v>4.305425874053325E-4</v>
      </c>
      <c r="I539" s="122">
        <v>1.7869725535414797E-4</v>
      </c>
      <c r="J539" s="122">
        <v>7.4748051717039628E-3</v>
      </c>
      <c r="K539" s="122">
        <v>7.7897397488055839E-3</v>
      </c>
      <c r="L539" s="122">
        <v>4.3614428281072912E-4</v>
      </c>
      <c r="M539" s="122">
        <v>1.6612755816924542E-6</v>
      </c>
      <c r="N539" s="122">
        <v>1.8624363822413965E-2</v>
      </c>
    </row>
    <row r="540" spans="1:14" x14ac:dyDescent="0.35">
      <c r="A540" s="147"/>
      <c r="B540" s="122" t="s">
        <v>342</v>
      </c>
      <c r="C540" s="122">
        <v>8.7510622887057403E-4</v>
      </c>
      <c r="D540" s="122">
        <v>-1.3078063744341263E-4</v>
      </c>
      <c r="E540" s="122">
        <v>1.0174917575636864E-3</v>
      </c>
      <c r="F540" s="122">
        <v>-5.0874587878184312E-5</v>
      </c>
      <c r="G540" s="122">
        <v>1.5506202480992397E-3</v>
      </c>
      <c r="H540" s="122">
        <v>1.4052359304229719E-3</v>
      </c>
      <c r="I540" s="122">
        <v>1.6256502601040416E-3</v>
      </c>
      <c r="J540" s="122">
        <v>1.6572125060485827E-3</v>
      </c>
      <c r="K540" s="122">
        <v>1.08196080130833E-2</v>
      </c>
      <c r="L540" s="122">
        <v>1.4639638749203675E-4</v>
      </c>
      <c r="M540" s="122">
        <v>3.9043051812366417E-7</v>
      </c>
      <c r="N540" s="122">
        <v>1.8916056536880964E-2</v>
      </c>
    </row>
    <row r="541" spans="1:14" x14ac:dyDescent="0.35">
      <c r="A541" s="147"/>
      <c r="B541" s="122" t="s">
        <v>353</v>
      </c>
      <c r="C541" s="122">
        <v>1.0916989500959369E-3</v>
      </c>
      <c r="D541" s="122">
        <v>-1.6336660500465173E-4</v>
      </c>
      <c r="E541" s="122">
        <v>5.0874587878184309E-4</v>
      </c>
      <c r="F541" s="122">
        <v>-2.5437293939092159E-5</v>
      </c>
      <c r="G541" s="122">
        <v>1.3005202080832333E-3</v>
      </c>
      <c r="H541" s="122">
        <v>1.6278211237588046E-3</v>
      </c>
      <c r="I541" s="122">
        <v>1.4005602240896359E-3</v>
      </c>
      <c r="J541" s="122">
        <v>8.1176313347634972E-4</v>
      </c>
      <c r="K541" s="122">
        <v>1.2742340378417937E-2</v>
      </c>
      <c r="L541" s="122">
        <v>9.5916349994523524E-5</v>
      </c>
      <c r="M541" s="122">
        <v>1.3788361982157096E-7</v>
      </c>
      <c r="N541" s="122">
        <v>1.9390700231374344E-2</v>
      </c>
    </row>
    <row r="542" spans="1:14" x14ac:dyDescent="0.35">
      <c r="A542" s="147"/>
      <c r="B542" s="122" t="s">
        <v>331</v>
      </c>
      <c r="C542" s="122">
        <v>1.0397745068075209E-3</v>
      </c>
      <c r="D542" s="122">
        <v>-1.0288771335031333E-4</v>
      </c>
      <c r="E542" s="122">
        <v>6.8982996659853576E-5</v>
      </c>
      <c r="F542" s="122">
        <v>-6.8982996659853564E-6</v>
      </c>
      <c r="G542" s="122">
        <v>1.0654632223259673E-3</v>
      </c>
      <c r="H542" s="122">
        <v>4.305425874053325E-4</v>
      </c>
      <c r="I542" s="122">
        <v>8.6011184229469056E-5</v>
      </c>
      <c r="J542" s="122">
        <v>7.4748051717039628E-3</v>
      </c>
      <c r="K542" s="122">
        <v>9.2965398747964327E-3</v>
      </c>
      <c r="L542" s="122">
        <v>4.1963548045956083E-4</v>
      </c>
      <c r="M542" s="122">
        <v>1.6612755816924542E-6</v>
      </c>
      <c r="N542" s="122">
        <v>1.9773630286953493E-2</v>
      </c>
    </row>
    <row r="543" spans="1:14" x14ac:dyDescent="0.35">
      <c r="A543" s="147"/>
      <c r="B543" s="122" t="s">
        <v>341</v>
      </c>
      <c r="C543" s="122">
        <v>1.364623687619921E-3</v>
      </c>
      <c r="D543" s="122">
        <v>-2.0420825625581466E-4</v>
      </c>
      <c r="E543" s="122">
        <v>1.0174917575636864E-3</v>
      </c>
      <c r="F543" s="122">
        <v>-5.0874587878184312E-5</v>
      </c>
      <c r="G543" s="122">
        <v>1.5506202480992397E-3</v>
      </c>
      <c r="H543" s="122">
        <v>2.0347764046985059E-3</v>
      </c>
      <c r="I543" s="122">
        <v>1.6256502601040416E-3</v>
      </c>
      <c r="J543" s="122">
        <v>1.0147039168454373E-3</v>
      </c>
      <c r="K543" s="122">
        <v>1.1361009791448535E-2</v>
      </c>
      <c r="L543" s="122">
        <v>1.5407027205455864E-4</v>
      </c>
      <c r="M543" s="122">
        <v>1.7235452477696371E-7</v>
      </c>
      <c r="N543" s="122">
        <v>1.9868035848824704E-2</v>
      </c>
    </row>
    <row r="544" spans="1:14" x14ac:dyDescent="0.35">
      <c r="A544" s="147"/>
      <c r="B544" s="122" t="s">
        <v>347</v>
      </c>
      <c r="C544" s="122">
        <v>7.6317014160409149E-4</v>
      </c>
      <c r="D544" s="122">
        <v>-3.832836099071531E-5</v>
      </c>
      <c r="E544" s="122">
        <v>7.6311881817276459E-4</v>
      </c>
      <c r="F544" s="122">
        <v>-3.8155940908638231E-5</v>
      </c>
      <c r="G544" s="122">
        <v>3.6264505802320927E-3</v>
      </c>
      <c r="H544" s="122">
        <v>2.6260504201680674E-3</v>
      </c>
      <c r="I544" s="122">
        <v>4.0016006402561026E-3</v>
      </c>
      <c r="J544" s="122">
        <v>6.1155198507974618E-4</v>
      </c>
      <c r="K544" s="122">
        <v>5.6115126958639575E-3</v>
      </c>
      <c r="L544" s="122">
        <v>0</v>
      </c>
      <c r="M544" s="122">
        <v>2.0378339096479639E-3</v>
      </c>
      <c r="N544" s="122">
        <v>1.9964804889125436E-2</v>
      </c>
    </row>
    <row r="545" spans="1:14" x14ac:dyDescent="0.35">
      <c r="A545" s="147"/>
      <c r="B545" s="122" t="s">
        <v>343</v>
      </c>
      <c r="C545" s="122">
        <v>7.6317014160409149E-4</v>
      </c>
      <c r="D545" s="122">
        <v>-3.832836099071531E-5</v>
      </c>
      <c r="E545" s="122">
        <v>5.087458787818432E-4</v>
      </c>
      <c r="F545" s="122">
        <v>-2.5437293939092156E-5</v>
      </c>
      <c r="G545" s="122">
        <v>1.525610244097639E-3</v>
      </c>
      <c r="H545" s="122">
        <v>2.6260504201680674E-3</v>
      </c>
      <c r="I545" s="122">
        <v>1.6256502601040416E-3</v>
      </c>
      <c r="J545" s="122">
        <v>6.1155198507974618E-4</v>
      </c>
      <c r="K545" s="122">
        <v>1.3015188631705189E-2</v>
      </c>
      <c r="L545" s="122">
        <v>0</v>
      </c>
      <c r="M545" s="122">
        <v>2.0378339096479639E-3</v>
      </c>
      <c r="N545" s="122">
        <v>2.2650035816258775E-2</v>
      </c>
    </row>
    <row r="546" spans="1:14" x14ac:dyDescent="0.35">
      <c r="A546" s="147"/>
      <c r="B546" s="122" t="s">
        <v>351</v>
      </c>
      <c r="C546" s="122">
        <v>6.1053611328327313E-4</v>
      </c>
      <c r="D546" s="122">
        <v>-3.0662688792572247E-5</v>
      </c>
      <c r="E546" s="122">
        <v>5.0874587878184309E-4</v>
      </c>
      <c r="F546" s="122">
        <v>-2.5437293939092159E-5</v>
      </c>
      <c r="G546" s="122">
        <v>1.3005202080832333E-3</v>
      </c>
      <c r="H546" s="122">
        <v>2.1008403361344541E-3</v>
      </c>
      <c r="I546" s="122">
        <v>1.4005602240896359E-3</v>
      </c>
      <c r="J546" s="122">
        <v>4.8924158806379694E-4</v>
      </c>
      <c r="K546" s="122">
        <v>1.5505977047510767E-2</v>
      </c>
      <c r="L546" s="122">
        <v>0</v>
      </c>
      <c r="M546" s="122">
        <v>1.6302671277183709E-3</v>
      </c>
      <c r="N546" s="122">
        <v>2.3490588540933711E-2</v>
      </c>
    </row>
    <row r="547" spans="1:14" x14ac:dyDescent="0.35">
      <c r="A547" s="147"/>
      <c r="B547" s="122" t="s">
        <v>339</v>
      </c>
      <c r="C547" s="122">
        <v>7.6317014160409149E-4</v>
      </c>
      <c r="D547" s="122">
        <v>-3.832836099071531E-5</v>
      </c>
      <c r="E547" s="122">
        <v>1.0174917575636864E-3</v>
      </c>
      <c r="F547" s="122">
        <v>-5.0874587878184312E-5</v>
      </c>
      <c r="G547" s="122">
        <v>1.5506202480992397E-3</v>
      </c>
      <c r="H547" s="122">
        <v>2.6260504201680674E-3</v>
      </c>
      <c r="I547" s="122">
        <v>1.6256502601040416E-3</v>
      </c>
      <c r="J547" s="122">
        <v>6.1155198507974618E-4</v>
      </c>
      <c r="K547" s="122">
        <v>1.3766604462926097E-2</v>
      </c>
      <c r="L547" s="122">
        <v>0</v>
      </c>
      <c r="M547" s="122">
        <v>2.0378339096479639E-3</v>
      </c>
      <c r="N547" s="122">
        <v>2.3909770236324034E-2</v>
      </c>
    </row>
    <row r="548" spans="1:14" x14ac:dyDescent="0.35">
      <c r="A548" s="147"/>
      <c r="B548" s="122" t="s">
        <v>359</v>
      </c>
      <c r="C548" s="122">
        <v>8.497708528469412E-3</v>
      </c>
      <c r="D548" s="122">
        <v>-2.1233726283419697E-3</v>
      </c>
      <c r="E548" s="122">
        <v>2.964391815717463E-3</v>
      </c>
      <c r="F548" s="122">
        <v>-7.4109795392936575E-4</v>
      </c>
      <c r="G548" s="122">
        <v>2.5454545454545455E-2</v>
      </c>
      <c r="H548" s="122">
        <v>5.4545454545454541E-3</v>
      </c>
      <c r="I548" s="122">
        <v>4.4000000000000003E-3</v>
      </c>
      <c r="J548" s="122">
        <v>3.113117391921032E-3</v>
      </c>
      <c r="K548" s="122">
        <v>2.7282787191532938E-2</v>
      </c>
      <c r="L548" s="122">
        <v>2.5587566886892052E-3</v>
      </c>
      <c r="M548" s="122">
        <v>6.9881416122631238E-7</v>
      </c>
      <c r="N548" s="122">
        <v>7.6862080757310852E-2</v>
      </c>
    </row>
    <row r="549" spans="1:14" x14ac:dyDescent="0.35">
      <c r="A549" s="147"/>
      <c r="B549" s="122" t="s">
        <v>362</v>
      </c>
      <c r="C549" s="122">
        <v>8.9023613155393838E-3</v>
      </c>
      <c r="D549" s="122">
        <v>-2.2244856106439686E-3</v>
      </c>
      <c r="E549" s="122">
        <v>1.552776665375814E-3</v>
      </c>
      <c r="F549" s="122">
        <v>-3.8819416634395349E-4</v>
      </c>
      <c r="G549" s="122">
        <v>2.6666666666666665E-2</v>
      </c>
      <c r="H549" s="122">
        <v>5.7142857142857143E-3</v>
      </c>
      <c r="I549" s="122">
        <v>4.4000000000000003E-3</v>
      </c>
      <c r="J549" s="122">
        <v>3.113117391921032E-3</v>
      </c>
      <c r="K549" s="122">
        <v>3.0584670404040087E-2</v>
      </c>
      <c r="L549" s="122">
        <v>2.5593307853502487E-3</v>
      </c>
      <c r="M549" s="122">
        <v>6.9881416122631238E-7</v>
      </c>
      <c r="N549" s="122">
        <v>8.0881227980352244E-2</v>
      </c>
    </row>
    <row r="550" spans="1:14" x14ac:dyDescent="0.35">
      <c r="A550" s="147"/>
      <c r="B550" s="122" t="s">
        <v>358</v>
      </c>
      <c r="C550" s="122">
        <v>6.7329270291914978E-3</v>
      </c>
      <c r="D550" s="122">
        <v>-1.0113075190954952E-3</v>
      </c>
      <c r="E550" s="122">
        <v>2.964391815717463E-3</v>
      </c>
      <c r="F550" s="122">
        <v>-7.4109795392936575E-4</v>
      </c>
      <c r="G550" s="122">
        <v>2.5454545454545455E-2</v>
      </c>
      <c r="H550" s="122">
        <v>7.2727272727272727E-3</v>
      </c>
      <c r="I550" s="122">
        <v>4.4000000000000003E-3</v>
      </c>
      <c r="J550" s="122">
        <v>1.7136393401738417E-3</v>
      </c>
      <c r="K550" s="122">
        <v>3.0362775456119165E-2</v>
      </c>
      <c r="L550" s="122">
        <v>0</v>
      </c>
      <c r="M550" s="122">
        <v>5.7102461303557804E-3</v>
      </c>
      <c r="N550" s="122">
        <v>8.2858847025805621E-2</v>
      </c>
    </row>
    <row r="551" spans="1:14" x14ac:dyDescent="0.35">
      <c r="A551" s="147"/>
      <c r="B551" s="122" t="s">
        <v>360</v>
      </c>
      <c r="C551" s="122">
        <v>9.0858113202051029E-3</v>
      </c>
      <c r="D551" s="122">
        <v>-2.2699193820295231E-3</v>
      </c>
      <c r="E551" s="122">
        <v>2.964391815717463E-3</v>
      </c>
      <c r="F551" s="122">
        <v>-7.4109795392936575E-4</v>
      </c>
      <c r="G551" s="122">
        <v>2.5454545454545455E-2</v>
      </c>
      <c r="H551" s="122">
        <v>6.5474078574617092E-3</v>
      </c>
      <c r="I551" s="122">
        <v>4.4000000000000003E-3</v>
      </c>
      <c r="J551" s="122">
        <v>6.4282809894911476E-3</v>
      </c>
      <c r="K551" s="122">
        <v>3.0011302960061749E-2</v>
      </c>
      <c r="L551" s="122">
        <v>1.0925549573459828E-3</v>
      </c>
      <c r="M551" s="122">
        <v>1.8114752335067751E-6</v>
      </c>
      <c r="N551" s="122">
        <v>8.2975089494103232E-2</v>
      </c>
    </row>
    <row r="552" spans="1:14" x14ac:dyDescent="0.35">
      <c r="A552" s="147"/>
      <c r="B552" s="122" t="s">
        <v>361</v>
      </c>
      <c r="C552" s="122">
        <v>7.0535426020101408E-3</v>
      </c>
      <c r="D552" s="122">
        <v>-1.0594650200048046E-3</v>
      </c>
      <c r="E552" s="122">
        <v>1.552776665375814E-3</v>
      </c>
      <c r="F552" s="122">
        <v>-3.8819416634395349E-4</v>
      </c>
      <c r="G552" s="122">
        <v>2.6666666666666665E-2</v>
      </c>
      <c r="H552" s="122">
        <v>7.619047619047619E-3</v>
      </c>
      <c r="I552" s="122">
        <v>4.4000000000000003E-3</v>
      </c>
      <c r="J552" s="122">
        <v>1.7136393401738417E-3</v>
      </c>
      <c r="K552" s="122">
        <v>3.4071626020197837E-2</v>
      </c>
      <c r="L552" s="122">
        <v>0</v>
      </c>
      <c r="M552" s="122">
        <v>5.7102461303557804E-3</v>
      </c>
      <c r="N552" s="122">
        <v>8.7339885857478955E-2</v>
      </c>
    </row>
    <row r="553" spans="1:14" x14ac:dyDescent="0.35">
      <c r="A553" s="147"/>
      <c r="B553" s="122" t="s">
        <v>363</v>
      </c>
      <c r="C553" s="122">
        <v>9.5184690021196325E-3</v>
      </c>
      <c r="D553" s="122">
        <v>-2.3780107811737857E-3</v>
      </c>
      <c r="E553" s="122">
        <v>1.552776665375814E-3</v>
      </c>
      <c r="F553" s="122">
        <v>-3.8819416634395349E-4</v>
      </c>
      <c r="G553" s="122">
        <v>2.6666666666666665E-2</v>
      </c>
      <c r="H553" s="122">
        <v>6.8591891840075045E-3</v>
      </c>
      <c r="I553" s="122">
        <v>4.4000000000000003E-3</v>
      </c>
      <c r="J553" s="122">
        <v>6.4282809894911476E-3</v>
      </c>
      <c r="K553" s="122">
        <v>3.3688781384214522E-2</v>
      </c>
      <c r="L553" s="122">
        <v>1.0942740570500167E-3</v>
      </c>
      <c r="M553" s="122">
        <v>1.8114752335067749E-6</v>
      </c>
      <c r="N553" s="122">
        <v>8.7444044476641086E-2</v>
      </c>
    </row>
    <row r="554" spans="1:14" x14ac:dyDescent="0.35">
      <c r="A554" s="147"/>
      <c r="B554" s="122" t="s">
        <v>368</v>
      </c>
      <c r="C554" s="122">
        <v>1.0386088201462616E-2</v>
      </c>
      <c r="D554" s="122">
        <v>-2.5952332124179632E-3</v>
      </c>
      <c r="E554" s="122">
        <v>2.1135015723170798E-3</v>
      </c>
      <c r="F554" s="122">
        <v>-5.2837539307926996E-4</v>
      </c>
      <c r="G554" s="122">
        <v>3.111111111111111E-2</v>
      </c>
      <c r="H554" s="122">
        <v>6.6666666666666662E-3</v>
      </c>
      <c r="I554" s="122">
        <v>4.4000000000000003E-3</v>
      </c>
      <c r="J554" s="122">
        <v>3.113117391921032E-3</v>
      </c>
      <c r="K554" s="122">
        <v>3.134493334029434E-2</v>
      </c>
      <c r="L554" s="122">
        <v>2.9397310941121982E-3</v>
      </c>
      <c r="M554" s="122">
        <v>6.9881416122631238E-7</v>
      </c>
      <c r="N554" s="122">
        <v>8.8952239586549048E-2</v>
      </c>
    </row>
    <row r="555" spans="1:14" x14ac:dyDescent="0.35">
      <c r="A555" s="147"/>
      <c r="B555" s="122" t="s">
        <v>367</v>
      </c>
      <c r="C555" s="122">
        <v>8.2291330356784979E-3</v>
      </c>
      <c r="D555" s="122">
        <v>-1.2360425233389387E-3</v>
      </c>
      <c r="E555" s="122">
        <v>2.1135015723170798E-3</v>
      </c>
      <c r="F555" s="122">
        <v>-5.2837539307926996E-4</v>
      </c>
      <c r="G555" s="122">
        <v>3.111111111111111E-2</v>
      </c>
      <c r="H555" s="122">
        <v>8.8888888888888889E-3</v>
      </c>
      <c r="I555" s="122">
        <v>4.4000000000000003E-3</v>
      </c>
      <c r="J555" s="122">
        <v>1.7136393401738417E-3</v>
      </c>
      <c r="K555" s="122">
        <v>3.1358591335074237E-2</v>
      </c>
      <c r="L555" s="122">
        <v>0</v>
      </c>
      <c r="M555" s="122">
        <v>5.7102461303557804E-3</v>
      </c>
      <c r="N555" s="122">
        <v>9.1760693497181245E-2</v>
      </c>
    </row>
    <row r="556" spans="1:14" x14ac:dyDescent="0.35">
      <c r="A556" s="147"/>
      <c r="B556" s="122" t="s">
        <v>369</v>
      </c>
      <c r="C556" s="122">
        <v>1.1104880502472903E-2</v>
      </c>
      <c r="D556" s="122">
        <v>-2.7743459113694167E-3</v>
      </c>
      <c r="E556" s="122">
        <v>2.1135015723170798E-3</v>
      </c>
      <c r="F556" s="122">
        <v>-5.2837539307926996E-4</v>
      </c>
      <c r="G556" s="122">
        <v>3.111111111111111E-2</v>
      </c>
      <c r="H556" s="122">
        <v>8.0023873813420895E-3</v>
      </c>
      <c r="I556" s="122">
        <v>4.4000000000000003E-3</v>
      </c>
      <c r="J556" s="122">
        <v>6.4282809894911476E-3</v>
      </c>
      <c r="K556" s="122">
        <v>3.4265251413943702E-2</v>
      </c>
      <c r="L556" s="122">
        <v>1.2474190256527851E-3</v>
      </c>
      <c r="M556" s="122">
        <v>1.8114752335067751E-6</v>
      </c>
      <c r="N556" s="122">
        <v>9.5371922167115653E-2</v>
      </c>
    </row>
    <row r="557" spans="1:14" x14ac:dyDescent="0.35">
      <c r="A557" s="147"/>
      <c r="B557" s="122" t="s">
        <v>365</v>
      </c>
      <c r="C557" s="122">
        <v>1.1983947924764555E-2</v>
      </c>
      <c r="D557" s="122">
        <v>-2.9944998604822652E-3</v>
      </c>
      <c r="E557" s="122">
        <v>2.7870350404181278E-3</v>
      </c>
      <c r="F557" s="122">
        <v>-6.9675876010453195E-4</v>
      </c>
      <c r="G557" s="122">
        <v>3.5897435897435902E-2</v>
      </c>
      <c r="H557" s="122">
        <v>7.6923076923076927E-3</v>
      </c>
      <c r="I557" s="122">
        <v>4.4000000000000003E-3</v>
      </c>
      <c r="J557" s="122">
        <v>3.113117391921032E-3</v>
      </c>
      <c r="K557" s="122">
        <v>4.0081027133875929E-2</v>
      </c>
      <c r="L557" s="122">
        <v>3.3539876446939537E-3</v>
      </c>
      <c r="M557" s="122">
        <v>6.9881416122631238E-7</v>
      </c>
      <c r="N557" s="122">
        <v>0.10561829891899162</v>
      </c>
    </row>
    <row r="558" spans="1:14" x14ac:dyDescent="0.35">
      <c r="A558" s="147"/>
      <c r="B558" s="122" t="s">
        <v>364</v>
      </c>
      <c r="C558" s="122">
        <v>9.4951535027059594E-3</v>
      </c>
      <c r="D558" s="122">
        <v>-1.4262029115449293E-3</v>
      </c>
      <c r="E558" s="122">
        <v>2.7870350404181278E-3</v>
      </c>
      <c r="F558" s="122">
        <v>-6.9675876010453195E-4</v>
      </c>
      <c r="G558" s="122">
        <v>3.5897435897435902E-2</v>
      </c>
      <c r="H558" s="122">
        <v>1.0256410256410255E-2</v>
      </c>
      <c r="I558" s="122">
        <v>4.4000000000000003E-3</v>
      </c>
      <c r="J558" s="122">
        <v>1.7136393401738417E-3</v>
      </c>
      <c r="K558" s="122">
        <v>4.3834430531863561E-2</v>
      </c>
      <c r="L558" s="122">
        <v>0</v>
      </c>
      <c r="M558" s="122">
        <v>5.7102461303557804E-3</v>
      </c>
      <c r="N558" s="122">
        <v>0.11197138902771397</v>
      </c>
    </row>
    <row r="559" spans="1:14" x14ac:dyDescent="0.35">
      <c r="A559" s="147"/>
      <c r="B559" s="122" t="s">
        <v>366</v>
      </c>
      <c r="C559" s="122">
        <v>1.2813323656699505E-2</v>
      </c>
      <c r="D559" s="122">
        <v>-3.2011683592724038E-3</v>
      </c>
      <c r="E559" s="122">
        <v>2.7870350404181278E-3</v>
      </c>
      <c r="F559" s="122">
        <v>-6.9675876010453195E-4</v>
      </c>
      <c r="G559" s="122">
        <v>3.5897435897435902E-2</v>
      </c>
      <c r="H559" s="122">
        <v>9.2335239015485654E-3</v>
      </c>
      <c r="I559" s="122">
        <v>4.4000000000000003E-3</v>
      </c>
      <c r="J559" s="122">
        <v>6.4282809894911476E-3</v>
      </c>
      <c r="K559" s="122">
        <v>4.3535935641045784E-2</v>
      </c>
      <c r="L559" s="122">
        <v>1.4141278777070332E-3</v>
      </c>
      <c r="M559" s="122">
        <v>1.8114752335067751E-6</v>
      </c>
      <c r="N559" s="122">
        <v>0.11261354736020264</v>
      </c>
    </row>
    <row r="560" spans="1:14" x14ac:dyDescent="0.35">
      <c r="A560" s="147"/>
      <c r="B560" s="122" t="s">
        <v>356</v>
      </c>
      <c r="C560" s="122">
        <v>1.6995417056938824E-2</v>
      </c>
      <c r="D560" s="122">
        <v>-4.2467452566839394E-3</v>
      </c>
      <c r="E560" s="122">
        <v>3.9525224209566176E-3</v>
      </c>
      <c r="F560" s="122">
        <v>-9.8813060523915441E-4</v>
      </c>
      <c r="G560" s="122">
        <v>5.0909090909090911E-2</v>
      </c>
      <c r="H560" s="122">
        <v>1.0909090909090908E-2</v>
      </c>
      <c r="I560" s="122">
        <v>4.4000000000000003E-3</v>
      </c>
      <c r="J560" s="122">
        <v>4.0342174151229478E-3</v>
      </c>
      <c r="K560" s="122">
        <v>6.9097617972363107E-2</v>
      </c>
      <c r="L560" s="122">
        <v>4.6393934903808803E-3</v>
      </c>
      <c r="M560" s="122">
        <v>6.9881416122631238E-7</v>
      </c>
      <c r="N560" s="122">
        <v>0.15970317312618235</v>
      </c>
    </row>
    <row r="561" spans="1:29" x14ac:dyDescent="0.35">
      <c r="A561" s="147"/>
      <c r="B561" s="122" t="s">
        <v>355</v>
      </c>
      <c r="C561" s="122">
        <v>1.3465854058382996E-2</v>
      </c>
      <c r="D561" s="122">
        <v>-2.0226150381909905E-3</v>
      </c>
      <c r="E561" s="122">
        <v>3.9525224209566176E-3</v>
      </c>
      <c r="F561" s="122">
        <v>-9.8813060523915441E-4</v>
      </c>
      <c r="G561" s="122">
        <v>5.0909090909090911E-2</v>
      </c>
      <c r="H561" s="122">
        <v>1.4545454545454545E-2</v>
      </c>
      <c r="I561" s="122">
        <v>4.4000000000000003E-3</v>
      </c>
      <c r="J561" s="122">
        <v>1.7136393401738417E-3</v>
      </c>
      <c r="K561" s="122">
        <v>7.3591825191863691E-2</v>
      </c>
      <c r="L561" s="122">
        <v>0</v>
      </c>
      <c r="M561" s="122">
        <v>5.7102461303557804E-3</v>
      </c>
      <c r="N561" s="122">
        <v>0.16527788695284823</v>
      </c>
    </row>
    <row r="562" spans="1:29" x14ac:dyDescent="0.35">
      <c r="A562" s="148"/>
      <c r="B562" s="128" t="s">
        <v>357</v>
      </c>
      <c r="C562" s="128">
        <v>1.8171622640410206E-2</v>
      </c>
      <c r="D562" s="128">
        <v>-4.5398387640590461E-3</v>
      </c>
      <c r="E562" s="128">
        <v>3.9525224209566176E-3</v>
      </c>
      <c r="F562" s="128">
        <v>-9.8813060523915441E-4</v>
      </c>
      <c r="G562" s="128">
        <v>5.0909090909090911E-2</v>
      </c>
      <c r="H562" s="128">
        <v>1.3094815714923418E-2</v>
      </c>
      <c r="I562" s="128">
        <v>4.4000000000000003E-3</v>
      </c>
      <c r="J562" s="128">
        <v>6.4282809894911476E-3</v>
      </c>
      <c r="K562" s="128">
        <v>7.3390771136010391E-2</v>
      </c>
      <c r="L562" s="128">
        <v>1.9127480557803583E-3</v>
      </c>
      <c r="M562" s="128">
        <v>1.8114752335067751E-6</v>
      </c>
      <c r="N562" s="128">
        <v>0.16673369397259838</v>
      </c>
    </row>
    <row r="573" spans="1:29" x14ac:dyDescent="0.35">
      <c r="B573" s="122">
        <v>2023</v>
      </c>
      <c r="C573" s="122">
        <v>2024</v>
      </c>
      <c r="D573" s="122">
        <v>2025</v>
      </c>
      <c r="E573" s="122">
        <v>2026</v>
      </c>
      <c r="F573" s="122">
        <v>2027</v>
      </c>
      <c r="G573" s="122">
        <v>2028</v>
      </c>
      <c r="H573" s="122">
        <v>2029</v>
      </c>
      <c r="I573" s="122">
        <v>2030</v>
      </c>
      <c r="J573" s="122">
        <v>2031</v>
      </c>
      <c r="K573" s="122">
        <v>2032</v>
      </c>
      <c r="L573" s="122">
        <v>2033</v>
      </c>
      <c r="M573" s="122">
        <v>2034</v>
      </c>
      <c r="N573" s="122">
        <v>2035</v>
      </c>
      <c r="O573" s="122">
        <v>2036</v>
      </c>
      <c r="P573" s="122">
        <v>2037</v>
      </c>
      <c r="Q573" s="122">
        <v>2038</v>
      </c>
      <c r="R573" s="122">
        <v>2039</v>
      </c>
      <c r="S573" s="122">
        <v>2040</v>
      </c>
      <c r="T573" s="122">
        <v>2041</v>
      </c>
      <c r="U573" s="122">
        <v>2042</v>
      </c>
      <c r="V573" s="122">
        <v>2043</v>
      </c>
      <c r="W573" s="122">
        <v>2044</v>
      </c>
      <c r="X573" s="122">
        <v>2045</v>
      </c>
      <c r="Y573" s="122">
        <v>2046</v>
      </c>
      <c r="Z573" s="122">
        <v>2047</v>
      </c>
      <c r="AA573" s="122">
        <v>2048</v>
      </c>
      <c r="AB573" s="122">
        <v>2049</v>
      </c>
      <c r="AC573" s="122">
        <v>2050</v>
      </c>
    </row>
    <row r="574" spans="1:29" x14ac:dyDescent="0.35">
      <c r="A574" s="122" t="s">
        <v>507</v>
      </c>
      <c r="B574" s="122">
        <f>B599*1000</f>
        <v>75.233329810000001</v>
      </c>
      <c r="C574" s="122">
        <f t="shared" ref="C574:AC583" si="10">C599*1000</f>
        <v>75.233329810000001</v>
      </c>
      <c r="D574" s="122">
        <f t="shared" si="10"/>
        <v>75.233329810000001</v>
      </c>
      <c r="E574" s="122">
        <f t="shared" si="10"/>
        <v>75.233329810000001</v>
      </c>
      <c r="F574" s="122">
        <f t="shared" si="10"/>
        <v>75.233329810000001</v>
      </c>
      <c r="G574" s="122">
        <f t="shared" si="10"/>
        <v>75.233329810000001</v>
      </c>
      <c r="H574" s="122">
        <f t="shared" si="10"/>
        <v>75.233329810000001</v>
      </c>
      <c r="I574" s="122">
        <f t="shared" si="10"/>
        <v>75.233329810000001</v>
      </c>
      <c r="J574" s="122">
        <f t="shared" si="10"/>
        <v>76.599996340000004</v>
      </c>
      <c r="K574" s="122">
        <f t="shared" si="10"/>
        <v>77.966662870000008</v>
      </c>
      <c r="L574" s="122">
        <f t="shared" si="10"/>
        <v>79.333329400000011</v>
      </c>
      <c r="M574" s="122">
        <f t="shared" si="10"/>
        <v>80.699995930000014</v>
      </c>
      <c r="N574" s="122">
        <f t="shared" si="10"/>
        <v>82.066662460000003</v>
      </c>
      <c r="O574" s="122">
        <f t="shared" si="10"/>
        <v>81.106662556000003</v>
      </c>
      <c r="P574" s="122">
        <f t="shared" si="10"/>
        <v>80.146662651999989</v>
      </c>
      <c r="Q574" s="122">
        <f t="shared" si="10"/>
        <v>79.186662747999989</v>
      </c>
      <c r="R574" s="122">
        <f t="shared" si="10"/>
        <v>78.226662843999989</v>
      </c>
      <c r="S574" s="122">
        <f t="shared" si="10"/>
        <v>77.266662939999989</v>
      </c>
      <c r="T574" s="122">
        <f t="shared" si="10"/>
        <v>76.306663035999989</v>
      </c>
      <c r="U574" s="122">
        <f t="shared" si="10"/>
        <v>75.346663131999989</v>
      </c>
      <c r="V574" s="122">
        <f t="shared" si="10"/>
        <v>74.386663227999989</v>
      </c>
      <c r="W574" s="122">
        <f t="shared" si="10"/>
        <v>73.426663323999989</v>
      </c>
      <c r="X574" s="122">
        <f t="shared" si="10"/>
        <v>72.466663419999989</v>
      </c>
      <c r="Y574" s="122">
        <f t="shared" si="10"/>
        <v>71.506663515999989</v>
      </c>
      <c r="Z574" s="122">
        <f t="shared" si="10"/>
        <v>70.546663611999989</v>
      </c>
      <c r="AA574" s="122">
        <f t="shared" si="10"/>
        <v>69.586663707999989</v>
      </c>
      <c r="AB574" s="122">
        <f t="shared" si="10"/>
        <v>68.626663803999989</v>
      </c>
      <c r="AC574" s="122">
        <f t="shared" si="10"/>
        <v>67.666663899999989</v>
      </c>
    </row>
    <row r="575" spans="1:29" x14ac:dyDescent="0.35">
      <c r="A575" s="122" t="s">
        <v>508</v>
      </c>
      <c r="B575" s="122">
        <f t="shared" ref="B575:Q594" si="11">B600*1000</f>
        <v>167.55030740877731</v>
      </c>
      <c r="C575" s="122">
        <f t="shared" si="11"/>
        <v>162.46311320948743</v>
      </c>
      <c r="D575" s="122">
        <f t="shared" si="11"/>
        <v>157.37591901019761</v>
      </c>
      <c r="E575" s="122">
        <f t="shared" si="11"/>
        <v>153.90105952791075</v>
      </c>
      <c r="F575" s="122">
        <f t="shared" si="11"/>
        <v>150.42620004562392</v>
      </c>
      <c r="G575" s="122">
        <f t="shared" si="11"/>
        <v>146.95134056333706</v>
      </c>
      <c r="H575" s="122">
        <f t="shared" si="11"/>
        <v>143.47648108105025</v>
      </c>
      <c r="I575" s="122">
        <f t="shared" si="11"/>
        <v>140.00162159876336</v>
      </c>
      <c r="J575" s="122">
        <f t="shared" si="11"/>
        <v>139.28851087301348</v>
      </c>
      <c r="K575" s="122">
        <f t="shared" si="11"/>
        <v>138.57540014726354</v>
      </c>
      <c r="L575" s="122">
        <f t="shared" si="11"/>
        <v>137.86228942151365</v>
      </c>
      <c r="M575" s="122">
        <f t="shared" si="11"/>
        <v>137.14917869576374</v>
      </c>
      <c r="N575" s="122">
        <f t="shared" si="11"/>
        <v>136.43606797001385</v>
      </c>
      <c r="O575" s="122">
        <f t="shared" si="11"/>
        <v>132.94825106115047</v>
      </c>
      <c r="P575" s="122">
        <f t="shared" si="11"/>
        <v>129.46043415228706</v>
      </c>
      <c r="Q575" s="122">
        <f t="shared" si="11"/>
        <v>125.97261724342368</v>
      </c>
      <c r="R575" s="122">
        <f t="shared" si="10"/>
        <v>122.48480033456028</v>
      </c>
      <c r="S575" s="122">
        <f t="shared" si="10"/>
        <v>118.99698342569687</v>
      </c>
      <c r="T575" s="122">
        <f t="shared" si="10"/>
        <v>115.78161519050339</v>
      </c>
      <c r="U575" s="122">
        <f t="shared" si="10"/>
        <v>112.56624695530989</v>
      </c>
      <c r="V575" s="122">
        <f t="shared" si="10"/>
        <v>109.35087872011641</v>
      </c>
      <c r="W575" s="122">
        <f t="shared" si="10"/>
        <v>106.13551048492292</v>
      </c>
      <c r="X575" s="122">
        <f t="shared" si="10"/>
        <v>102.92014224972944</v>
      </c>
      <c r="Y575" s="122">
        <f t="shared" si="10"/>
        <v>100.28722302472504</v>
      </c>
      <c r="Z575" s="122">
        <f t="shared" si="10"/>
        <v>97.654303799720651</v>
      </c>
      <c r="AA575" s="122">
        <f t="shared" si="10"/>
        <v>95.021384574716265</v>
      </c>
      <c r="AB575" s="122">
        <f t="shared" si="10"/>
        <v>92.388465349711865</v>
      </c>
      <c r="AC575" s="122">
        <f t="shared" si="10"/>
        <v>89.755546124707479</v>
      </c>
    </row>
    <row r="576" spans="1:29" x14ac:dyDescent="0.35">
      <c r="A576" s="122" t="s">
        <v>509</v>
      </c>
      <c r="B576" s="122">
        <f t="shared" si="11"/>
        <v>147.85151321799879</v>
      </c>
      <c r="C576" s="122">
        <f t="shared" si="10"/>
        <v>144.16734608940908</v>
      </c>
      <c r="D576" s="122">
        <f t="shared" si="10"/>
        <v>140.4831789608194</v>
      </c>
      <c r="E576" s="122">
        <f t="shared" si="10"/>
        <v>138.15902447403704</v>
      </c>
      <c r="F576" s="122">
        <f t="shared" si="10"/>
        <v>135.83486998725471</v>
      </c>
      <c r="G576" s="122">
        <f t="shared" si="10"/>
        <v>133.5107155004724</v>
      </c>
      <c r="H576" s="122">
        <f t="shared" si="10"/>
        <v>131.18656101369007</v>
      </c>
      <c r="I576" s="122">
        <f t="shared" si="10"/>
        <v>128.86240652690771</v>
      </c>
      <c r="J576" s="122">
        <f t="shared" si="10"/>
        <v>129.52442606744893</v>
      </c>
      <c r="K576" s="122">
        <f t="shared" si="10"/>
        <v>130.18644560799015</v>
      </c>
      <c r="L576" s="122">
        <f t="shared" si="10"/>
        <v>130.84846514853137</v>
      </c>
      <c r="M576" s="122">
        <f t="shared" si="10"/>
        <v>131.5104846890726</v>
      </c>
      <c r="N576" s="122">
        <f t="shared" si="10"/>
        <v>132.17250422961382</v>
      </c>
      <c r="O576" s="122">
        <f t="shared" si="10"/>
        <v>129.28218732240185</v>
      </c>
      <c r="P576" s="122">
        <f t="shared" si="10"/>
        <v>126.3918704151899</v>
      </c>
      <c r="Q576" s="122">
        <f t="shared" si="10"/>
        <v>123.50155350797795</v>
      </c>
      <c r="R576" s="122">
        <f t="shared" si="10"/>
        <v>120.61123660076601</v>
      </c>
      <c r="S576" s="122">
        <f t="shared" si="10"/>
        <v>117.72091969355404</v>
      </c>
      <c r="T576" s="122">
        <f t="shared" si="10"/>
        <v>115.08473489323738</v>
      </c>
      <c r="U576" s="122">
        <f t="shared" si="10"/>
        <v>112.44855009292071</v>
      </c>
      <c r="V576" s="122">
        <f t="shared" si="10"/>
        <v>109.81236529260403</v>
      </c>
      <c r="W576" s="122">
        <f t="shared" si="10"/>
        <v>107.17618049228736</v>
      </c>
      <c r="X576" s="122">
        <f t="shared" si="10"/>
        <v>104.5399956919707</v>
      </c>
      <c r="Y576" s="122">
        <f t="shared" si="10"/>
        <v>102.03375570164211</v>
      </c>
      <c r="Z576" s="122">
        <f t="shared" si="10"/>
        <v>99.527515711313512</v>
      </c>
      <c r="AA576" s="122">
        <f t="shared" si="10"/>
        <v>97.021275720984917</v>
      </c>
      <c r="AB576" s="122">
        <f t="shared" si="10"/>
        <v>94.515035730656322</v>
      </c>
      <c r="AC576" s="122">
        <f t="shared" si="10"/>
        <v>92.008795740327727</v>
      </c>
    </row>
    <row r="577" spans="1:29" x14ac:dyDescent="0.35">
      <c r="A577" s="122" t="s">
        <v>510</v>
      </c>
      <c r="B577" s="122">
        <f t="shared" si="11"/>
        <v>327.41318944512034</v>
      </c>
      <c r="C577" s="122">
        <f t="shared" si="10"/>
        <v>312.81277713864336</v>
      </c>
      <c r="D577" s="122">
        <f t="shared" si="10"/>
        <v>298.21236483216632</v>
      </c>
      <c r="E577" s="122">
        <f t="shared" si="10"/>
        <v>285.14319769921502</v>
      </c>
      <c r="F577" s="122">
        <f t="shared" si="10"/>
        <v>272.07403056626373</v>
      </c>
      <c r="G577" s="122">
        <f t="shared" si="10"/>
        <v>259.00486343331244</v>
      </c>
      <c r="H577" s="122">
        <f t="shared" si="10"/>
        <v>245.93569630036112</v>
      </c>
      <c r="I577" s="122">
        <f t="shared" si="10"/>
        <v>232.86652916740982</v>
      </c>
      <c r="J577" s="122">
        <f t="shared" si="10"/>
        <v>225.87777574244078</v>
      </c>
      <c r="K577" s="122">
        <f t="shared" si="10"/>
        <v>218.88902231747173</v>
      </c>
      <c r="L577" s="122">
        <f t="shared" si="10"/>
        <v>211.90026889250268</v>
      </c>
      <c r="M577" s="122">
        <f t="shared" si="10"/>
        <v>204.91151546753363</v>
      </c>
      <c r="N577" s="122">
        <f t="shared" si="10"/>
        <v>197.92276204256467</v>
      </c>
      <c r="O577" s="122">
        <f t="shared" si="10"/>
        <v>190.46603197751216</v>
      </c>
      <c r="P577" s="122">
        <f t="shared" si="10"/>
        <v>183.00930191245968</v>
      </c>
      <c r="Q577" s="122">
        <f t="shared" si="10"/>
        <v>175.55257184740719</v>
      </c>
      <c r="R577" s="122">
        <f t="shared" si="10"/>
        <v>168.09584178235468</v>
      </c>
      <c r="S577" s="122">
        <f t="shared" si="10"/>
        <v>160.63911171730211</v>
      </c>
      <c r="T577" s="122">
        <f t="shared" si="10"/>
        <v>155.56274856986607</v>
      </c>
      <c r="U577" s="122">
        <f t="shared" si="10"/>
        <v>150.48638542243003</v>
      </c>
      <c r="V577" s="122">
        <f t="shared" si="10"/>
        <v>145.41002227499399</v>
      </c>
      <c r="W577" s="122">
        <f t="shared" si="10"/>
        <v>140.33365912755798</v>
      </c>
      <c r="X577" s="122">
        <f t="shared" si="10"/>
        <v>135.25729598012194</v>
      </c>
      <c r="Y577" s="122">
        <f t="shared" si="10"/>
        <v>131.72162740387634</v>
      </c>
      <c r="Z577" s="122">
        <f t="shared" si="10"/>
        <v>128.18595882763074</v>
      </c>
      <c r="AA577" s="122">
        <f t="shared" si="10"/>
        <v>124.65029025138512</v>
      </c>
      <c r="AB577" s="122">
        <f t="shared" si="10"/>
        <v>121.1146216751395</v>
      </c>
      <c r="AC577" s="122">
        <f t="shared" si="10"/>
        <v>117.57895309889392</v>
      </c>
    </row>
    <row r="578" spans="1:29" x14ac:dyDescent="0.35">
      <c r="A578" s="122" t="s">
        <v>511</v>
      </c>
      <c r="B578" s="122">
        <f t="shared" si="11"/>
        <v>57.951260504201684</v>
      </c>
      <c r="C578" s="122">
        <f t="shared" si="10"/>
        <v>53.9546218487395</v>
      </c>
      <c r="D578" s="122">
        <f t="shared" si="10"/>
        <v>49.957983193277315</v>
      </c>
      <c r="E578" s="122">
        <f t="shared" si="10"/>
        <v>45.96134453781513</v>
      </c>
      <c r="F578" s="122">
        <f t="shared" si="10"/>
        <v>41.964705882352945</v>
      </c>
      <c r="G578" s="122">
        <f t="shared" si="10"/>
        <v>37.968067226890767</v>
      </c>
      <c r="H578" s="122">
        <f t="shared" si="10"/>
        <v>33.971428571428582</v>
      </c>
      <c r="I578" s="122">
        <f t="shared" si="10"/>
        <v>29.97478991596639</v>
      </c>
      <c r="J578" s="122">
        <f t="shared" si="10"/>
        <v>29.368157262905164</v>
      </c>
      <c r="K578" s="122">
        <f t="shared" si="10"/>
        <v>28.761524609843939</v>
      </c>
      <c r="L578" s="122">
        <f t="shared" si="10"/>
        <v>28.154891956782713</v>
      </c>
      <c r="M578" s="122">
        <f t="shared" si="10"/>
        <v>27.548259303721487</v>
      </c>
      <c r="N578" s="122">
        <f t="shared" si="10"/>
        <v>26.941626650660268</v>
      </c>
      <c r="O578" s="122">
        <f t="shared" si="10"/>
        <v>26.334993997599042</v>
      </c>
      <c r="P578" s="122">
        <f t="shared" si="10"/>
        <v>25.728361344537817</v>
      </c>
      <c r="Q578" s="122">
        <f t="shared" si="10"/>
        <v>25.121728691476591</v>
      </c>
      <c r="R578" s="122">
        <f t="shared" si="10"/>
        <v>24.515096038415365</v>
      </c>
      <c r="S578" s="122">
        <f t="shared" si="10"/>
        <v>23.908463385354146</v>
      </c>
      <c r="T578" s="122">
        <f t="shared" si="10"/>
        <v>23.30183073229292</v>
      </c>
      <c r="U578" s="122">
        <f t="shared" si="10"/>
        <v>22.695198079231695</v>
      </c>
      <c r="V578" s="122">
        <f t="shared" si="10"/>
        <v>22.088565426170469</v>
      </c>
      <c r="W578" s="122">
        <f t="shared" si="10"/>
        <v>21.481932773109243</v>
      </c>
      <c r="X578" s="122">
        <f t="shared" si="10"/>
        <v>20.875300120048024</v>
      </c>
      <c r="Y578" s="122">
        <f t="shared" si="10"/>
        <v>20.268667466986798</v>
      </c>
      <c r="Z578" s="122">
        <f t="shared" si="10"/>
        <v>19.662034813925573</v>
      </c>
      <c r="AA578" s="122">
        <f t="shared" si="10"/>
        <v>19.055402160864347</v>
      </c>
      <c r="AB578" s="122">
        <f t="shared" si="10"/>
        <v>18.448769507803121</v>
      </c>
      <c r="AC578" s="122">
        <f t="shared" si="10"/>
        <v>17.842136854741899</v>
      </c>
    </row>
    <row r="579" spans="1:29" x14ac:dyDescent="0.35">
      <c r="A579" s="122" t="s">
        <v>512</v>
      </c>
      <c r="B579" s="122">
        <f t="shared" si="11"/>
        <v>57.951260504201684</v>
      </c>
      <c r="C579" s="122">
        <f t="shared" si="10"/>
        <v>53.9546218487395</v>
      </c>
      <c r="D579" s="122">
        <f t="shared" si="10"/>
        <v>49.957983193277315</v>
      </c>
      <c r="E579" s="122">
        <f t="shared" si="10"/>
        <v>45.96134453781513</v>
      </c>
      <c r="F579" s="122">
        <f t="shared" si="10"/>
        <v>41.964705882352945</v>
      </c>
      <c r="G579" s="122">
        <f t="shared" si="10"/>
        <v>37.968067226890767</v>
      </c>
      <c r="H579" s="122">
        <f t="shared" si="10"/>
        <v>33.971428571428582</v>
      </c>
      <c r="I579" s="122">
        <f t="shared" si="10"/>
        <v>29.97478991596639</v>
      </c>
      <c r="J579" s="122">
        <f t="shared" si="10"/>
        <v>29.368157262905164</v>
      </c>
      <c r="K579" s="122">
        <f t="shared" si="10"/>
        <v>28.761524609843939</v>
      </c>
      <c r="L579" s="122">
        <f t="shared" si="10"/>
        <v>28.154891956782713</v>
      </c>
      <c r="M579" s="122">
        <f t="shared" si="10"/>
        <v>27.548259303721487</v>
      </c>
      <c r="N579" s="122">
        <f t="shared" si="10"/>
        <v>26.941626650660268</v>
      </c>
      <c r="O579" s="122">
        <f t="shared" si="10"/>
        <v>26.334993997599042</v>
      </c>
      <c r="P579" s="122">
        <f t="shared" si="10"/>
        <v>25.728361344537817</v>
      </c>
      <c r="Q579" s="122">
        <f t="shared" si="10"/>
        <v>25.121728691476591</v>
      </c>
      <c r="R579" s="122">
        <f t="shared" si="10"/>
        <v>24.515096038415365</v>
      </c>
      <c r="S579" s="122">
        <f t="shared" si="10"/>
        <v>23.908463385354146</v>
      </c>
      <c r="T579" s="122">
        <f t="shared" si="10"/>
        <v>23.30183073229292</v>
      </c>
      <c r="U579" s="122">
        <f t="shared" si="10"/>
        <v>22.695198079231695</v>
      </c>
      <c r="V579" s="122">
        <f t="shared" si="10"/>
        <v>22.088565426170469</v>
      </c>
      <c r="W579" s="122">
        <f t="shared" si="10"/>
        <v>21.481932773109243</v>
      </c>
      <c r="X579" s="122">
        <f t="shared" si="10"/>
        <v>20.875300120048024</v>
      </c>
      <c r="Y579" s="122">
        <f t="shared" si="10"/>
        <v>20.268667466986798</v>
      </c>
      <c r="Z579" s="122">
        <f t="shared" si="10"/>
        <v>19.662034813925573</v>
      </c>
      <c r="AA579" s="122">
        <f t="shared" si="10"/>
        <v>19.055402160864347</v>
      </c>
      <c r="AB579" s="122">
        <f t="shared" si="10"/>
        <v>18.448769507803121</v>
      </c>
      <c r="AC579" s="122">
        <f t="shared" si="10"/>
        <v>17.842136854741899</v>
      </c>
    </row>
    <row r="580" spans="1:29" x14ac:dyDescent="0.35">
      <c r="A580" s="122" t="s">
        <v>513</v>
      </c>
      <c r="B580" s="122">
        <f t="shared" si="11"/>
        <v>25.977890665149555</v>
      </c>
      <c r="C580" s="122">
        <f t="shared" si="10"/>
        <v>24.18631199858752</v>
      </c>
      <c r="D580" s="122">
        <f t="shared" si="10"/>
        <v>22.394733332025478</v>
      </c>
      <c r="E580" s="122">
        <f t="shared" si="10"/>
        <v>20.603154665463439</v>
      </c>
      <c r="F580" s="122">
        <f t="shared" si="10"/>
        <v>18.811575998901404</v>
      </c>
      <c r="G580" s="122">
        <f t="shared" si="10"/>
        <v>17.019997332339365</v>
      </c>
      <c r="H580" s="122">
        <f t="shared" si="10"/>
        <v>15.228418665777328</v>
      </c>
      <c r="I580" s="122">
        <f t="shared" si="10"/>
        <v>13.436839999215287</v>
      </c>
      <c r="J580" s="122">
        <f t="shared" si="10"/>
        <v>13.164903951612121</v>
      </c>
      <c r="K580" s="122">
        <f t="shared" si="10"/>
        <v>12.892967904008955</v>
      </c>
      <c r="L580" s="122">
        <f t="shared" si="10"/>
        <v>12.621031856405788</v>
      </c>
      <c r="M580" s="122">
        <f t="shared" si="10"/>
        <v>12.349095808802621</v>
      </c>
      <c r="N580" s="122">
        <f t="shared" si="10"/>
        <v>12.077159761199454</v>
      </c>
      <c r="O580" s="122">
        <f t="shared" si="10"/>
        <v>11.805223713596286</v>
      </c>
      <c r="P580" s="122">
        <f t="shared" si="10"/>
        <v>11.53328766599312</v>
      </c>
      <c r="Q580" s="122">
        <f t="shared" si="10"/>
        <v>11.261351618389954</v>
      </c>
      <c r="R580" s="122">
        <f t="shared" si="10"/>
        <v>10.989415570786786</v>
      </c>
      <c r="S580" s="122">
        <f t="shared" si="10"/>
        <v>10.717479523183622</v>
      </c>
      <c r="T580" s="122">
        <f t="shared" si="10"/>
        <v>10.445543475580456</v>
      </c>
      <c r="U580" s="122">
        <f t="shared" si="10"/>
        <v>10.173607427977288</v>
      </c>
      <c r="V580" s="122">
        <f t="shared" si="10"/>
        <v>9.9016713803741219</v>
      </c>
      <c r="W580" s="122">
        <f t="shared" si="10"/>
        <v>9.6297353327709558</v>
      </c>
      <c r="X580" s="122">
        <f t="shared" si="10"/>
        <v>9.357799285167788</v>
      </c>
      <c r="Y580" s="122">
        <f t="shared" si="10"/>
        <v>9.085863237564622</v>
      </c>
      <c r="Z580" s="122">
        <f t="shared" si="10"/>
        <v>8.813927189961456</v>
      </c>
      <c r="AA580" s="122">
        <f t="shared" si="10"/>
        <v>8.5419911423582882</v>
      </c>
      <c r="AB580" s="122">
        <f t="shared" si="10"/>
        <v>8.2700550947551221</v>
      </c>
      <c r="AC580" s="122">
        <f t="shared" si="10"/>
        <v>7.9981190471519561</v>
      </c>
    </row>
    <row r="581" spans="1:29" x14ac:dyDescent="0.35">
      <c r="A581" s="122" t="s">
        <v>514</v>
      </c>
      <c r="B581" s="122">
        <f t="shared" si="11"/>
        <v>80.999995900000002</v>
      </c>
      <c r="C581" s="122">
        <f t="shared" si="10"/>
        <v>80.999995900000002</v>
      </c>
      <c r="D581" s="122">
        <f t="shared" si="10"/>
        <v>80.999995900000002</v>
      </c>
      <c r="E581" s="122">
        <f t="shared" si="10"/>
        <v>80.999995900000002</v>
      </c>
      <c r="F581" s="122">
        <f t="shared" si="10"/>
        <v>80.999995900000002</v>
      </c>
      <c r="G581" s="122">
        <f t="shared" si="10"/>
        <v>80.999995900000002</v>
      </c>
      <c r="H581" s="122">
        <f t="shared" si="10"/>
        <v>80.999995900000002</v>
      </c>
      <c r="I581" s="122">
        <f t="shared" si="10"/>
        <v>80.999995900000002</v>
      </c>
      <c r="J581" s="122">
        <f t="shared" si="10"/>
        <v>83.066662359999995</v>
      </c>
      <c r="K581" s="122">
        <f t="shared" si="10"/>
        <v>85.133328820000003</v>
      </c>
      <c r="L581" s="122">
        <f t="shared" si="10"/>
        <v>87.19999528000001</v>
      </c>
      <c r="M581" s="122">
        <f t="shared" si="10"/>
        <v>89.266661740000018</v>
      </c>
      <c r="N581" s="122">
        <f t="shared" si="10"/>
        <v>91.333328199999997</v>
      </c>
      <c r="O581" s="122">
        <f t="shared" si="10"/>
        <v>90.466661619999996</v>
      </c>
      <c r="P581" s="122">
        <f t="shared" si="10"/>
        <v>89.599995039999996</v>
      </c>
      <c r="Q581" s="122">
        <f t="shared" si="10"/>
        <v>88.733328459999981</v>
      </c>
      <c r="R581" s="122">
        <f t="shared" si="10"/>
        <v>87.866661879999981</v>
      </c>
      <c r="S581" s="122">
        <f t="shared" si="10"/>
        <v>86.999995299999995</v>
      </c>
      <c r="T581" s="122">
        <f t="shared" si="10"/>
        <v>86.13332871999998</v>
      </c>
      <c r="U581" s="122">
        <f t="shared" si="10"/>
        <v>85.266662139999994</v>
      </c>
      <c r="V581" s="122">
        <f t="shared" si="10"/>
        <v>84.399995559999979</v>
      </c>
      <c r="W581" s="122">
        <f t="shared" si="10"/>
        <v>83.533328979999979</v>
      </c>
      <c r="X581" s="122">
        <f t="shared" si="10"/>
        <v>82.666662399999993</v>
      </c>
      <c r="Y581" s="122">
        <f t="shared" si="10"/>
        <v>81.799995819999978</v>
      </c>
      <c r="Z581" s="122">
        <f t="shared" si="10"/>
        <v>80.933329239999992</v>
      </c>
      <c r="AA581" s="122">
        <f t="shared" si="10"/>
        <v>80.066662659999977</v>
      </c>
      <c r="AB581" s="122">
        <f t="shared" si="10"/>
        <v>79.199996079999991</v>
      </c>
      <c r="AC581" s="122">
        <f t="shared" si="10"/>
        <v>78.333329499999991</v>
      </c>
    </row>
    <row r="582" spans="1:29" x14ac:dyDescent="0.35">
      <c r="A582" s="122" t="s">
        <v>515</v>
      </c>
      <c r="B582" s="122">
        <f t="shared" si="11"/>
        <v>176.50758633144633</v>
      </c>
      <c r="C582" s="122">
        <f t="shared" si="10"/>
        <v>171.41203646151962</v>
      </c>
      <c r="D582" s="122">
        <f t="shared" si="10"/>
        <v>166.31648659159296</v>
      </c>
      <c r="E582" s="122">
        <f t="shared" si="10"/>
        <v>162.81432766630948</v>
      </c>
      <c r="F582" s="122">
        <f t="shared" si="10"/>
        <v>159.31216874102603</v>
      </c>
      <c r="G582" s="122">
        <f t="shared" si="10"/>
        <v>155.81000981574255</v>
      </c>
      <c r="H582" s="122">
        <f t="shared" si="10"/>
        <v>152.30785089045909</v>
      </c>
      <c r="I582" s="122">
        <f t="shared" si="10"/>
        <v>148.80569196517558</v>
      </c>
      <c r="J582" s="122">
        <f t="shared" si="10"/>
        <v>149.09793604375517</v>
      </c>
      <c r="K582" s="122">
        <f t="shared" si="10"/>
        <v>149.39018012233475</v>
      </c>
      <c r="L582" s="122">
        <f t="shared" si="10"/>
        <v>149.68242420091434</v>
      </c>
      <c r="M582" s="122">
        <f t="shared" si="10"/>
        <v>149.9746682794939</v>
      </c>
      <c r="N582" s="122">
        <f t="shared" si="10"/>
        <v>150.26691235807354</v>
      </c>
      <c r="O582" s="122">
        <f t="shared" si="10"/>
        <v>146.85063279900345</v>
      </c>
      <c r="P582" s="122">
        <f t="shared" si="10"/>
        <v>143.43435323993333</v>
      </c>
      <c r="Q582" s="122">
        <f t="shared" si="10"/>
        <v>140.01807368086324</v>
      </c>
      <c r="R582" s="122">
        <f t="shared" si="10"/>
        <v>136.60179412179315</v>
      </c>
      <c r="S582" s="122">
        <f t="shared" si="10"/>
        <v>133.18551456272309</v>
      </c>
      <c r="T582" s="122">
        <f t="shared" si="10"/>
        <v>130.03016708307891</v>
      </c>
      <c r="U582" s="122">
        <f t="shared" si="10"/>
        <v>126.87481960343472</v>
      </c>
      <c r="V582" s="122">
        <f t="shared" si="10"/>
        <v>123.71947212379052</v>
      </c>
      <c r="W582" s="122">
        <f t="shared" si="10"/>
        <v>120.56412464414635</v>
      </c>
      <c r="X582" s="122">
        <f t="shared" si="10"/>
        <v>117.40877716450215</v>
      </c>
      <c r="Y582" s="122">
        <f t="shared" si="10"/>
        <v>114.83288597039363</v>
      </c>
      <c r="Z582" s="122">
        <f t="shared" si="10"/>
        <v>112.25699477628511</v>
      </c>
      <c r="AA582" s="122">
        <f t="shared" si="10"/>
        <v>109.68110358217659</v>
      </c>
      <c r="AB582" s="122">
        <f t="shared" si="10"/>
        <v>107.10521238806807</v>
      </c>
      <c r="AC582" s="122">
        <f t="shared" si="10"/>
        <v>104.52932119395956</v>
      </c>
    </row>
    <row r="583" spans="1:29" x14ac:dyDescent="0.35">
      <c r="A583" s="122" t="s">
        <v>516</v>
      </c>
      <c r="B583" s="122">
        <f t="shared" si="11"/>
        <v>157.96068463848832</v>
      </c>
      <c r="C583" s="122">
        <f t="shared" si="10"/>
        <v>154.26708731267803</v>
      </c>
      <c r="D583" s="122">
        <f t="shared" si="10"/>
        <v>150.57348998686771</v>
      </c>
      <c r="E583" s="122">
        <f t="shared" si="10"/>
        <v>148.21852539008219</v>
      </c>
      <c r="F583" s="122">
        <f t="shared" si="10"/>
        <v>145.86356079329661</v>
      </c>
      <c r="G583" s="122">
        <f t="shared" si="10"/>
        <v>143.50859619651109</v>
      </c>
      <c r="H583" s="122">
        <f t="shared" si="10"/>
        <v>141.15363159972554</v>
      </c>
      <c r="I583" s="122">
        <f t="shared" si="10"/>
        <v>138.79866700293996</v>
      </c>
      <c r="J583" s="122">
        <f t="shared" si="10"/>
        <v>140.5953284523826</v>
      </c>
      <c r="K583" s="122">
        <f t="shared" si="10"/>
        <v>142.39198990182524</v>
      </c>
      <c r="L583" s="122">
        <f t="shared" si="10"/>
        <v>144.18865135126788</v>
      </c>
      <c r="M583" s="122">
        <f t="shared" si="10"/>
        <v>145.98531280071055</v>
      </c>
      <c r="N583" s="122">
        <f t="shared" si="10"/>
        <v>147.78197425015313</v>
      </c>
      <c r="O583" s="122">
        <f t="shared" si="10"/>
        <v>144.97239428752798</v>
      </c>
      <c r="P583" s="122">
        <f t="shared" si="10"/>
        <v>142.16281432490285</v>
      </c>
      <c r="Q583" s="122">
        <f t="shared" si="10"/>
        <v>139.3532343622777</v>
      </c>
      <c r="R583" s="122">
        <f t="shared" si="10"/>
        <v>136.54365439965255</v>
      </c>
      <c r="S583" s="122">
        <f t="shared" si="10"/>
        <v>133.7340744370274</v>
      </c>
      <c r="T583" s="122">
        <f t="shared" si="10"/>
        <v>131.16562897048311</v>
      </c>
      <c r="U583" s="122">
        <f t="shared" si="10"/>
        <v>128.59718350393888</v>
      </c>
      <c r="V583" s="122">
        <f t="shared" si="10"/>
        <v>126.02873803739459</v>
      </c>
      <c r="W583" s="122">
        <f t="shared" si="10"/>
        <v>123.4602925708503</v>
      </c>
      <c r="X583" s="122">
        <f t="shared" si="10"/>
        <v>120.89184710430604</v>
      </c>
      <c r="Y583" s="122">
        <f t="shared" si="10"/>
        <v>118.44996886324041</v>
      </c>
      <c r="Z583" s="122">
        <f t="shared" si="10"/>
        <v>116.00809062217481</v>
      </c>
      <c r="AA583" s="122">
        <f t="shared" si="10"/>
        <v>113.5662123811092</v>
      </c>
      <c r="AB583" s="122">
        <f t="shared" si="10"/>
        <v>111.12433414004359</v>
      </c>
      <c r="AC583" s="122">
        <f t="shared" si="10"/>
        <v>108.68245589897795</v>
      </c>
    </row>
    <row r="584" spans="1:29" x14ac:dyDescent="0.35">
      <c r="A584" s="122" t="s">
        <v>517</v>
      </c>
      <c r="B584" s="122">
        <f t="shared" si="11"/>
        <v>338.60978809845653</v>
      </c>
      <c r="C584" s="122">
        <f t="shared" ref="C584:AC593" si="12">C609*1000</f>
        <v>323.99893120368358</v>
      </c>
      <c r="D584" s="122">
        <f t="shared" si="12"/>
        <v>309.38807430891057</v>
      </c>
      <c r="E584" s="122">
        <f t="shared" si="12"/>
        <v>296.2847828722135</v>
      </c>
      <c r="F584" s="122">
        <f t="shared" si="12"/>
        <v>283.18149143551642</v>
      </c>
      <c r="G584" s="122">
        <f t="shared" si="12"/>
        <v>270.07819999881934</v>
      </c>
      <c r="H584" s="122">
        <f t="shared" si="12"/>
        <v>256.97490856212227</v>
      </c>
      <c r="I584" s="122">
        <f t="shared" si="12"/>
        <v>243.87161712542508</v>
      </c>
      <c r="J584" s="122">
        <f t="shared" si="12"/>
        <v>238.1395572058679</v>
      </c>
      <c r="K584" s="122">
        <f t="shared" si="12"/>
        <v>232.40749728631073</v>
      </c>
      <c r="L584" s="122">
        <f t="shared" si="12"/>
        <v>226.67543736675356</v>
      </c>
      <c r="M584" s="122">
        <f t="shared" si="12"/>
        <v>220.94337744719638</v>
      </c>
      <c r="N584" s="122">
        <f t="shared" si="12"/>
        <v>215.21131752763924</v>
      </c>
      <c r="O584" s="122">
        <f t="shared" si="12"/>
        <v>207.84400914982837</v>
      </c>
      <c r="P584" s="122">
        <f t="shared" si="12"/>
        <v>200.47670077201749</v>
      </c>
      <c r="Q584" s="122">
        <f t="shared" si="12"/>
        <v>193.10939239420657</v>
      </c>
      <c r="R584" s="122">
        <f t="shared" si="12"/>
        <v>185.74208401639569</v>
      </c>
      <c r="S584" s="122">
        <f t="shared" si="12"/>
        <v>178.37477563858488</v>
      </c>
      <c r="T584" s="122">
        <f t="shared" si="12"/>
        <v>173.37343843558548</v>
      </c>
      <c r="U584" s="122">
        <f t="shared" si="12"/>
        <v>168.37210123258603</v>
      </c>
      <c r="V584" s="122">
        <f t="shared" si="12"/>
        <v>163.37076402958661</v>
      </c>
      <c r="W584" s="122">
        <f t="shared" si="12"/>
        <v>158.36942682658722</v>
      </c>
      <c r="X584" s="122">
        <f t="shared" si="12"/>
        <v>153.36808962358782</v>
      </c>
      <c r="Y584" s="122">
        <f t="shared" si="12"/>
        <v>149.90370608596206</v>
      </c>
      <c r="Z584" s="122">
        <f t="shared" si="12"/>
        <v>146.43932254833629</v>
      </c>
      <c r="AA584" s="122">
        <f t="shared" si="12"/>
        <v>142.97493901071056</v>
      </c>
      <c r="AB584" s="122">
        <f t="shared" si="12"/>
        <v>139.51055547308479</v>
      </c>
      <c r="AC584" s="122">
        <f t="shared" si="12"/>
        <v>136.046171935459</v>
      </c>
    </row>
    <row r="585" spans="1:29" x14ac:dyDescent="0.35">
      <c r="A585" s="122" t="s">
        <v>518</v>
      </c>
      <c r="B585" s="122">
        <f t="shared" si="11"/>
        <v>64.802641056422573</v>
      </c>
      <c r="C585" s="122">
        <f t="shared" si="12"/>
        <v>63.089795918367344</v>
      </c>
      <c r="D585" s="122">
        <f t="shared" si="12"/>
        <v>61.376950780312129</v>
      </c>
      <c r="E585" s="122">
        <f t="shared" si="12"/>
        <v>59.664105642256906</v>
      </c>
      <c r="F585" s="122">
        <f t="shared" si="12"/>
        <v>57.951260504201692</v>
      </c>
      <c r="G585" s="122">
        <f t="shared" si="12"/>
        <v>56.238415366146477</v>
      </c>
      <c r="H585" s="122">
        <f t="shared" si="12"/>
        <v>54.525570228091254</v>
      </c>
      <c r="I585" s="122">
        <f t="shared" si="12"/>
        <v>52.812725090036025</v>
      </c>
      <c r="J585" s="122">
        <f t="shared" si="12"/>
        <v>52.313145258103255</v>
      </c>
      <c r="K585" s="122">
        <f t="shared" si="12"/>
        <v>51.813565426170477</v>
      </c>
      <c r="L585" s="122">
        <f t="shared" si="12"/>
        <v>51.313985594237707</v>
      </c>
      <c r="M585" s="122">
        <f t="shared" si="12"/>
        <v>50.814405762304936</v>
      </c>
      <c r="N585" s="122">
        <f t="shared" si="12"/>
        <v>50.314825930372152</v>
      </c>
      <c r="O585" s="122">
        <f t="shared" si="12"/>
        <v>49.815246098439381</v>
      </c>
      <c r="P585" s="122">
        <f t="shared" si="12"/>
        <v>49.315666266506611</v>
      </c>
      <c r="Q585" s="122">
        <f t="shared" si="12"/>
        <v>48.81608643457384</v>
      </c>
      <c r="R585" s="122">
        <f t="shared" si="12"/>
        <v>48.316506602641063</v>
      </c>
      <c r="S585" s="122">
        <f t="shared" si="12"/>
        <v>47.816926770708292</v>
      </c>
      <c r="T585" s="122">
        <f t="shared" si="12"/>
        <v>47.317346938775522</v>
      </c>
      <c r="U585" s="122">
        <f t="shared" si="12"/>
        <v>46.817767106842744</v>
      </c>
      <c r="V585" s="122">
        <f t="shared" si="12"/>
        <v>46.318187274909974</v>
      </c>
      <c r="W585" s="122">
        <f t="shared" si="12"/>
        <v>45.818607442977203</v>
      </c>
      <c r="X585" s="122">
        <f t="shared" si="12"/>
        <v>45.319027611044426</v>
      </c>
      <c r="Y585" s="122">
        <f t="shared" si="12"/>
        <v>44.819447779111655</v>
      </c>
      <c r="Z585" s="122">
        <f t="shared" si="12"/>
        <v>44.319867947178885</v>
      </c>
      <c r="AA585" s="122">
        <f t="shared" si="12"/>
        <v>43.820288115246107</v>
      </c>
      <c r="AB585" s="122">
        <f t="shared" si="12"/>
        <v>43.320708283313337</v>
      </c>
      <c r="AC585" s="122">
        <f t="shared" si="12"/>
        <v>42.821128451380567</v>
      </c>
    </row>
    <row r="586" spans="1:29" x14ac:dyDescent="0.35">
      <c r="A586" s="122" t="s">
        <v>519</v>
      </c>
      <c r="B586" s="122">
        <f t="shared" si="11"/>
        <v>64.802641056422573</v>
      </c>
      <c r="C586" s="122">
        <f t="shared" si="12"/>
        <v>63.089795918367344</v>
      </c>
      <c r="D586" s="122">
        <f t="shared" si="12"/>
        <v>61.376950780312129</v>
      </c>
      <c r="E586" s="122">
        <f t="shared" si="12"/>
        <v>59.664105642256906</v>
      </c>
      <c r="F586" s="122">
        <f t="shared" si="12"/>
        <v>57.951260504201692</v>
      </c>
      <c r="G586" s="122">
        <f t="shared" si="12"/>
        <v>56.238415366146477</v>
      </c>
      <c r="H586" s="122">
        <f t="shared" si="12"/>
        <v>54.525570228091254</v>
      </c>
      <c r="I586" s="122">
        <f t="shared" si="12"/>
        <v>52.812725090036025</v>
      </c>
      <c r="J586" s="122">
        <f t="shared" si="12"/>
        <v>52.313145258103255</v>
      </c>
      <c r="K586" s="122">
        <f t="shared" si="12"/>
        <v>51.813565426170477</v>
      </c>
      <c r="L586" s="122">
        <f t="shared" si="12"/>
        <v>51.313985594237707</v>
      </c>
      <c r="M586" s="122">
        <f t="shared" si="12"/>
        <v>50.814405762304936</v>
      </c>
      <c r="N586" s="122">
        <f t="shared" si="12"/>
        <v>50.314825930372152</v>
      </c>
      <c r="O586" s="122">
        <f t="shared" si="12"/>
        <v>49.815246098439381</v>
      </c>
      <c r="P586" s="122">
        <f t="shared" si="12"/>
        <v>49.315666266506611</v>
      </c>
      <c r="Q586" s="122">
        <f t="shared" si="12"/>
        <v>48.81608643457384</v>
      </c>
      <c r="R586" s="122">
        <f t="shared" si="12"/>
        <v>48.316506602641063</v>
      </c>
      <c r="S586" s="122">
        <f t="shared" si="12"/>
        <v>47.816926770708292</v>
      </c>
      <c r="T586" s="122">
        <f t="shared" si="12"/>
        <v>47.317346938775522</v>
      </c>
      <c r="U586" s="122">
        <f t="shared" si="12"/>
        <v>46.817767106842744</v>
      </c>
      <c r="V586" s="122">
        <f t="shared" si="12"/>
        <v>46.318187274909974</v>
      </c>
      <c r="W586" s="122">
        <f t="shared" si="12"/>
        <v>45.818607442977203</v>
      </c>
      <c r="X586" s="122">
        <f t="shared" si="12"/>
        <v>45.319027611044426</v>
      </c>
      <c r="Y586" s="122">
        <f t="shared" si="12"/>
        <v>44.819447779111655</v>
      </c>
      <c r="Z586" s="122">
        <f t="shared" si="12"/>
        <v>44.319867947178885</v>
      </c>
      <c r="AA586" s="122">
        <f t="shared" si="12"/>
        <v>43.820288115246107</v>
      </c>
      <c r="AB586" s="122">
        <f t="shared" si="12"/>
        <v>43.320708283313337</v>
      </c>
      <c r="AC586" s="122">
        <f t="shared" si="12"/>
        <v>42.821128451380567</v>
      </c>
    </row>
    <row r="587" spans="1:29" x14ac:dyDescent="0.35">
      <c r="A587" s="122" t="s">
        <v>520</v>
      </c>
      <c r="B587" s="122">
        <f t="shared" si="11"/>
        <v>29.049168379255899</v>
      </c>
      <c r="C587" s="122">
        <f t="shared" si="12"/>
        <v>28.281348950729313</v>
      </c>
      <c r="D587" s="122">
        <f t="shared" si="12"/>
        <v>27.513529522202727</v>
      </c>
      <c r="E587" s="122">
        <f t="shared" si="12"/>
        <v>26.745710093676138</v>
      </c>
      <c r="F587" s="122">
        <f t="shared" si="12"/>
        <v>25.977890665149552</v>
      </c>
      <c r="G587" s="122">
        <f t="shared" si="12"/>
        <v>25.210071236622962</v>
      </c>
      <c r="H587" s="122">
        <f t="shared" si="12"/>
        <v>24.442251808096373</v>
      </c>
      <c r="I587" s="122">
        <f t="shared" si="12"/>
        <v>23.67443237956979</v>
      </c>
      <c r="J587" s="122">
        <f t="shared" si="12"/>
        <v>23.450485046249536</v>
      </c>
      <c r="K587" s="122">
        <f t="shared" si="12"/>
        <v>23.226537712929279</v>
      </c>
      <c r="L587" s="122">
        <f t="shared" si="12"/>
        <v>23.002590379609025</v>
      </c>
      <c r="M587" s="122">
        <f t="shared" si="12"/>
        <v>22.778643046288771</v>
      </c>
      <c r="N587" s="122">
        <f t="shared" si="12"/>
        <v>22.554695712968513</v>
      </c>
      <c r="O587" s="122">
        <f t="shared" si="12"/>
        <v>22.330748379648259</v>
      </c>
      <c r="P587" s="122">
        <f t="shared" si="12"/>
        <v>22.106801046328002</v>
      </c>
      <c r="Q587" s="122">
        <f t="shared" si="12"/>
        <v>21.882853713007748</v>
      </c>
      <c r="R587" s="122">
        <f t="shared" si="12"/>
        <v>21.65890637968749</v>
      </c>
      <c r="S587" s="122">
        <f t="shared" si="12"/>
        <v>21.434959046367243</v>
      </c>
      <c r="T587" s="122">
        <f t="shared" si="12"/>
        <v>21.21101171304699</v>
      </c>
      <c r="U587" s="122">
        <f t="shared" si="12"/>
        <v>20.987064379726732</v>
      </c>
      <c r="V587" s="122">
        <f t="shared" si="12"/>
        <v>20.763117046406478</v>
      </c>
      <c r="W587" s="122">
        <f t="shared" si="12"/>
        <v>20.539169713086221</v>
      </c>
      <c r="X587" s="122">
        <f t="shared" si="12"/>
        <v>20.315222379765974</v>
      </c>
      <c r="Y587" s="122">
        <f t="shared" si="12"/>
        <v>20.091275046445716</v>
      </c>
      <c r="Z587" s="122">
        <f t="shared" si="12"/>
        <v>19.867327713125462</v>
      </c>
      <c r="AA587" s="122">
        <f t="shared" si="12"/>
        <v>19.643380379805208</v>
      </c>
      <c r="AB587" s="122">
        <f t="shared" si="12"/>
        <v>19.419433046484951</v>
      </c>
      <c r="AC587" s="122">
        <f t="shared" si="12"/>
        <v>19.1954857131647</v>
      </c>
    </row>
    <row r="588" spans="1:29" x14ac:dyDescent="0.35">
      <c r="A588" s="122" t="s">
        <v>521</v>
      </c>
      <c r="B588" s="122">
        <f t="shared" si="11"/>
        <v>94.16666124999999</v>
      </c>
      <c r="C588" s="122">
        <f t="shared" si="12"/>
        <v>94.16666124999999</v>
      </c>
      <c r="D588" s="122">
        <f t="shared" si="12"/>
        <v>94.16666124999999</v>
      </c>
      <c r="E588" s="122">
        <f t="shared" si="12"/>
        <v>94.16666124999999</v>
      </c>
      <c r="F588" s="122">
        <f t="shared" si="12"/>
        <v>94.16666124999999</v>
      </c>
      <c r="G588" s="122">
        <f t="shared" si="12"/>
        <v>94.16666124999999</v>
      </c>
      <c r="H588" s="122">
        <f t="shared" si="12"/>
        <v>94.16666124999999</v>
      </c>
      <c r="I588" s="122">
        <f t="shared" si="12"/>
        <v>94.16666124999999</v>
      </c>
      <c r="J588" s="122">
        <f t="shared" si="12"/>
        <v>95.999994399999991</v>
      </c>
      <c r="K588" s="122">
        <f t="shared" si="12"/>
        <v>97.833327550000007</v>
      </c>
      <c r="L588" s="122">
        <f t="shared" si="12"/>
        <v>99.666660700000008</v>
      </c>
      <c r="M588" s="122">
        <f t="shared" si="12"/>
        <v>101.49999385000001</v>
      </c>
      <c r="N588" s="122">
        <f t="shared" si="12"/>
        <v>103.333327</v>
      </c>
      <c r="O588" s="122">
        <f t="shared" si="12"/>
        <v>102.33332709999999</v>
      </c>
      <c r="P588" s="122">
        <f t="shared" si="12"/>
        <v>101.33332719999999</v>
      </c>
      <c r="Q588" s="122">
        <f t="shared" si="12"/>
        <v>100.33332729999998</v>
      </c>
      <c r="R588" s="122">
        <f t="shared" si="12"/>
        <v>99.333327399999973</v>
      </c>
      <c r="S588" s="122">
        <f t="shared" si="12"/>
        <v>98.333327499999996</v>
      </c>
      <c r="T588" s="122">
        <f t="shared" si="12"/>
        <v>97.33332759999999</v>
      </c>
      <c r="U588" s="122">
        <f t="shared" si="12"/>
        <v>96.333327699999984</v>
      </c>
      <c r="V588" s="122">
        <f t="shared" si="12"/>
        <v>95.333327799999978</v>
      </c>
      <c r="W588" s="122">
        <f t="shared" si="12"/>
        <v>94.333327899999986</v>
      </c>
      <c r="X588" s="122">
        <f t="shared" si="12"/>
        <v>93.333328000000009</v>
      </c>
      <c r="Y588" s="122">
        <f t="shared" si="12"/>
        <v>92.333328100000003</v>
      </c>
      <c r="Z588" s="122">
        <f t="shared" si="12"/>
        <v>91.333328199999997</v>
      </c>
      <c r="AA588" s="122">
        <f t="shared" si="12"/>
        <v>90.333328299999991</v>
      </c>
      <c r="AB588" s="122">
        <f t="shared" si="12"/>
        <v>89.333328399999985</v>
      </c>
      <c r="AC588" s="122">
        <f t="shared" si="12"/>
        <v>88.333328500000022</v>
      </c>
    </row>
    <row r="589" spans="1:29" x14ac:dyDescent="0.35">
      <c r="A589" s="122" t="s">
        <v>522</v>
      </c>
      <c r="B589" s="122">
        <f t="shared" si="11"/>
        <v>196.95917693522813</v>
      </c>
      <c r="C589" s="122">
        <f t="shared" si="12"/>
        <v>191.8445490889919</v>
      </c>
      <c r="D589" s="122">
        <f t="shared" si="12"/>
        <v>186.72992124275569</v>
      </c>
      <c r="E589" s="122">
        <f t="shared" si="12"/>
        <v>183.16543121930073</v>
      </c>
      <c r="F589" s="122">
        <f t="shared" si="12"/>
        <v>179.60094119584579</v>
      </c>
      <c r="G589" s="122">
        <f t="shared" si="12"/>
        <v>176.03645117239083</v>
      </c>
      <c r="H589" s="122">
        <f t="shared" si="12"/>
        <v>172.47196114893586</v>
      </c>
      <c r="I589" s="122">
        <f t="shared" si="12"/>
        <v>168.90747112548092</v>
      </c>
      <c r="J589" s="122">
        <f t="shared" si="12"/>
        <v>168.76144856602932</v>
      </c>
      <c r="K589" s="122">
        <f t="shared" si="12"/>
        <v>168.61542600657768</v>
      </c>
      <c r="L589" s="122">
        <f t="shared" si="12"/>
        <v>168.46940344712601</v>
      </c>
      <c r="M589" s="122">
        <f t="shared" si="12"/>
        <v>168.3233808876744</v>
      </c>
      <c r="N589" s="122">
        <f t="shared" si="12"/>
        <v>168.17735832822279</v>
      </c>
      <c r="O589" s="122">
        <f t="shared" si="12"/>
        <v>164.48316805908789</v>
      </c>
      <c r="P589" s="122">
        <f t="shared" si="12"/>
        <v>160.78897778995298</v>
      </c>
      <c r="Q589" s="122">
        <f t="shared" si="12"/>
        <v>157.09478752081807</v>
      </c>
      <c r="R589" s="122">
        <f t="shared" si="12"/>
        <v>153.40059725168311</v>
      </c>
      <c r="S589" s="122">
        <f t="shared" si="12"/>
        <v>149.7064069825482</v>
      </c>
      <c r="T589" s="122">
        <f t="shared" si="12"/>
        <v>146.2771837462117</v>
      </c>
      <c r="U589" s="122">
        <f t="shared" si="12"/>
        <v>142.84796050987524</v>
      </c>
      <c r="V589" s="122">
        <f t="shared" si="12"/>
        <v>139.41873727353877</v>
      </c>
      <c r="W589" s="122">
        <f t="shared" si="12"/>
        <v>135.98951403720227</v>
      </c>
      <c r="X589" s="122">
        <f t="shared" si="12"/>
        <v>132.56029080086583</v>
      </c>
      <c r="Y589" s="122">
        <f t="shared" si="12"/>
        <v>129.72417970496934</v>
      </c>
      <c r="Z589" s="122">
        <f t="shared" si="12"/>
        <v>126.88806860907287</v>
      </c>
      <c r="AA589" s="122">
        <f t="shared" si="12"/>
        <v>124.05195751317638</v>
      </c>
      <c r="AB589" s="122">
        <f t="shared" si="12"/>
        <v>121.21584641727991</v>
      </c>
      <c r="AC589" s="122">
        <f t="shared" si="12"/>
        <v>118.37973532138339</v>
      </c>
    </row>
    <row r="590" spans="1:29" x14ac:dyDescent="0.35">
      <c r="A590" s="122" t="s">
        <v>523</v>
      </c>
      <c r="B590" s="122">
        <f t="shared" si="11"/>
        <v>181.04231880665793</v>
      </c>
      <c r="C590" s="122">
        <f t="shared" si="12"/>
        <v>177.32719010569079</v>
      </c>
      <c r="D590" s="122">
        <f t="shared" si="12"/>
        <v>173.61206140472353</v>
      </c>
      <c r="E590" s="122">
        <f t="shared" si="12"/>
        <v>171.1867500249827</v>
      </c>
      <c r="F590" s="122">
        <f t="shared" si="12"/>
        <v>168.76143864524187</v>
      </c>
      <c r="G590" s="122">
        <f t="shared" si="12"/>
        <v>166.33612726550103</v>
      </c>
      <c r="H590" s="122">
        <f t="shared" si="12"/>
        <v>163.9108158857602</v>
      </c>
      <c r="I590" s="122">
        <f t="shared" si="12"/>
        <v>161.48550450601945</v>
      </c>
      <c r="J590" s="122">
        <f t="shared" si="12"/>
        <v>162.78753889182042</v>
      </c>
      <c r="K590" s="122">
        <f t="shared" si="12"/>
        <v>164.08957327762138</v>
      </c>
      <c r="L590" s="122">
        <f t="shared" si="12"/>
        <v>165.39160766342235</v>
      </c>
      <c r="M590" s="122">
        <f t="shared" si="12"/>
        <v>166.69364204922331</v>
      </c>
      <c r="N590" s="122">
        <f t="shared" si="12"/>
        <v>167.99567643502425</v>
      </c>
      <c r="O590" s="122">
        <f t="shared" si="12"/>
        <v>164.87244686609677</v>
      </c>
      <c r="P590" s="122">
        <f t="shared" si="12"/>
        <v>161.74921729716922</v>
      </c>
      <c r="Q590" s="122">
        <f t="shared" si="12"/>
        <v>158.62598772824177</v>
      </c>
      <c r="R590" s="122">
        <f t="shared" si="12"/>
        <v>155.50275815931428</v>
      </c>
      <c r="S590" s="122">
        <f t="shared" si="12"/>
        <v>152.3795285903868</v>
      </c>
      <c r="T590" s="122">
        <f t="shared" si="12"/>
        <v>149.50198735980291</v>
      </c>
      <c r="U590" s="122">
        <f t="shared" si="12"/>
        <v>146.624446129219</v>
      </c>
      <c r="V590" s="122">
        <f t="shared" si="12"/>
        <v>143.74690489863505</v>
      </c>
      <c r="W590" s="122">
        <f t="shared" si="12"/>
        <v>140.86936366805116</v>
      </c>
      <c r="X590" s="122">
        <f t="shared" si="12"/>
        <v>137.99182243746722</v>
      </c>
      <c r="Y590" s="122">
        <f t="shared" si="12"/>
        <v>135.2562604095163</v>
      </c>
      <c r="Z590" s="122">
        <f t="shared" si="12"/>
        <v>132.52069838156535</v>
      </c>
      <c r="AA590" s="122">
        <f t="shared" si="12"/>
        <v>129.7851363536144</v>
      </c>
      <c r="AB590" s="122">
        <f t="shared" si="12"/>
        <v>127.04957432566347</v>
      </c>
      <c r="AC590" s="122">
        <f t="shared" si="12"/>
        <v>124.31401229771254</v>
      </c>
    </row>
    <row r="591" spans="1:29" x14ac:dyDescent="0.35">
      <c r="A591" s="122" t="s">
        <v>524</v>
      </c>
      <c r="B591" s="122">
        <f t="shared" si="11"/>
        <v>364.17427635318364</v>
      </c>
      <c r="C591" s="122">
        <f t="shared" si="12"/>
        <v>349.53957198802379</v>
      </c>
      <c r="D591" s="122">
        <f t="shared" si="12"/>
        <v>334.90486762286406</v>
      </c>
      <c r="E591" s="122">
        <f t="shared" si="12"/>
        <v>321.72366231345256</v>
      </c>
      <c r="F591" s="122">
        <f t="shared" si="12"/>
        <v>308.54245700404113</v>
      </c>
      <c r="G591" s="122">
        <f t="shared" si="12"/>
        <v>295.36125169462969</v>
      </c>
      <c r="H591" s="122">
        <f t="shared" si="12"/>
        <v>282.18004638521825</v>
      </c>
      <c r="I591" s="122">
        <f t="shared" si="12"/>
        <v>268.99884107580675</v>
      </c>
      <c r="J591" s="122">
        <f t="shared" si="12"/>
        <v>262.71894785871058</v>
      </c>
      <c r="K591" s="122">
        <f t="shared" si="12"/>
        <v>256.4390546416144</v>
      </c>
      <c r="L591" s="122">
        <f t="shared" si="12"/>
        <v>250.15916142451826</v>
      </c>
      <c r="M591" s="122">
        <f t="shared" si="12"/>
        <v>243.87926820742209</v>
      </c>
      <c r="N591" s="122">
        <f t="shared" si="12"/>
        <v>237.59937499032586</v>
      </c>
      <c r="O591" s="122">
        <f t="shared" si="12"/>
        <v>229.88467822493394</v>
      </c>
      <c r="P591" s="122">
        <f t="shared" si="12"/>
        <v>222.16998145954204</v>
      </c>
      <c r="Q591" s="122">
        <f t="shared" si="12"/>
        <v>214.45528469415012</v>
      </c>
      <c r="R591" s="122">
        <f t="shared" si="12"/>
        <v>206.7405879287582</v>
      </c>
      <c r="S591" s="122">
        <f t="shared" si="12"/>
        <v>199.02589116336625</v>
      </c>
      <c r="T591" s="122">
        <f t="shared" si="12"/>
        <v>193.68220926450147</v>
      </c>
      <c r="U591" s="122">
        <f t="shared" si="12"/>
        <v>188.33852736563668</v>
      </c>
      <c r="V591" s="122">
        <f t="shared" si="12"/>
        <v>182.99484546677189</v>
      </c>
      <c r="W591" s="122">
        <f t="shared" si="12"/>
        <v>177.6511635679071</v>
      </c>
      <c r="X591" s="122">
        <f t="shared" si="12"/>
        <v>172.3074816690424</v>
      </c>
      <c r="Y591" s="122">
        <f t="shared" si="12"/>
        <v>168.51782325418165</v>
      </c>
      <c r="Z591" s="122">
        <f t="shared" si="12"/>
        <v>164.72816483932095</v>
      </c>
      <c r="AA591" s="122">
        <f t="shared" si="12"/>
        <v>160.93850642446026</v>
      </c>
      <c r="AB591" s="122">
        <f t="shared" si="12"/>
        <v>157.14884800959956</v>
      </c>
      <c r="AC591" s="122">
        <f t="shared" si="12"/>
        <v>153.35918959473878</v>
      </c>
    </row>
    <row r="592" spans="1:29" x14ac:dyDescent="0.35">
      <c r="A592" s="122" t="s">
        <v>525</v>
      </c>
      <c r="B592" s="122">
        <f t="shared" si="11"/>
        <v>67.157803121248492</v>
      </c>
      <c r="C592" s="122">
        <f t="shared" si="12"/>
        <v>66.230012004801907</v>
      </c>
      <c r="D592" s="122">
        <f t="shared" si="12"/>
        <v>65.302220888355336</v>
      </c>
      <c r="E592" s="122">
        <f t="shared" si="12"/>
        <v>64.374429771908765</v>
      </c>
      <c r="F592" s="122">
        <f t="shared" si="12"/>
        <v>63.446638655462195</v>
      </c>
      <c r="G592" s="122">
        <f t="shared" si="12"/>
        <v>62.518847539015624</v>
      </c>
      <c r="H592" s="122">
        <f t="shared" si="12"/>
        <v>61.591056422569046</v>
      </c>
      <c r="I592" s="122">
        <f t="shared" si="12"/>
        <v>60.663265306122454</v>
      </c>
      <c r="J592" s="122">
        <f t="shared" si="12"/>
        <v>60.591896758703491</v>
      </c>
      <c r="K592" s="122">
        <f t="shared" si="12"/>
        <v>60.520528211284521</v>
      </c>
      <c r="L592" s="122">
        <f t="shared" si="12"/>
        <v>60.449159663865558</v>
      </c>
      <c r="M592" s="122">
        <f t="shared" si="12"/>
        <v>60.377791116446588</v>
      </c>
      <c r="N592" s="122">
        <f t="shared" si="12"/>
        <v>60.306422569027617</v>
      </c>
      <c r="O592" s="122">
        <f t="shared" si="12"/>
        <v>60.235054021608647</v>
      </c>
      <c r="P592" s="122">
        <f t="shared" si="12"/>
        <v>60.163685474189684</v>
      </c>
      <c r="Q592" s="122">
        <f t="shared" si="12"/>
        <v>60.092316926770714</v>
      </c>
      <c r="R592" s="122">
        <f t="shared" si="12"/>
        <v>60.020948379351751</v>
      </c>
      <c r="S592" s="122">
        <f t="shared" si="12"/>
        <v>59.94957983193278</v>
      </c>
      <c r="T592" s="122">
        <f t="shared" si="12"/>
        <v>59.878211284513817</v>
      </c>
      <c r="U592" s="122">
        <f t="shared" si="12"/>
        <v>59.806842737094847</v>
      </c>
      <c r="V592" s="122">
        <f t="shared" si="12"/>
        <v>59.735474189675884</v>
      </c>
      <c r="W592" s="122">
        <f t="shared" si="12"/>
        <v>59.664105642256914</v>
      </c>
      <c r="X592" s="122">
        <f t="shared" si="12"/>
        <v>59.59273709483795</v>
      </c>
      <c r="Y592" s="122">
        <f t="shared" si="12"/>
        <v>59.52136854741898</v>
      </c>
      <c r="Z592" s="122">
        <f t="shared" si="12"/>
        <v>59.450000000000017</v>
      </c>
      <c r="AA592" s="122">
        <f t="shared" si="12"/>
        <v>59.378631452581047</v>
      </c>
      <c r="AB592" s="122">
        <f t="shared" si="12"/>
        <v>59.307262905162084</v>
      </c>
      <c r="AC592" s="122">
        <f t="shared" si="12"/>
        <v>59.235894357743113</v>
      </c>
    </row>
    <row r="593" spans="1:29" x14ac:dyDescent="0.35">
      <c r="A593" s="122" t="s">
        <v>526</v>
      </c>
      <c r="B593" s="122">
        <f t="shared" si="11"/>
        <v>67.157803121248492</v>
      </c>
      <c r="C593" s="122">
        <f t="shared" si="12"/>
        <v>66.230012004801907</v>
      </c>
      <c r="D593" s="122">
        <f t="shared" si="12"/>
        <v>65.302220888355336</v>
      </c>
      <c r="E593" s="122">
        <f t="shared" si="12"/>
        <v>64.374429771908765</v>
      </c>
      <c r="F593" s="122">
        <f t="shared" si="12"/>
        <v>63.446638655462195</v>
      </c>
      <c r="G593" s="122">
        <f t="shared" si="12"/>
        <v>62.518847539015624</v>
      </c>
      <c r="H593" s="122">
        <f t="shared" si="12"/>
        <v>61.591056422569046</v>
      </c>
      <c r="I593" s="122">
        <f t="shared" si="12"/>
        <v>60.663265306122454</v>
      </c>
      <c r="J593" s="122">
        <f t="shared" si="12"/>
        <v>60.591896758703491</v>
      </c>
      <c r="K593" s="122">
        <f t="shared" si="12"/>
        <v>60.520528211284521</v>
      </c>
      <c r="L593" s="122">
        <f t="shared" si="12"/>
        <v>60.449159663865558</v>
      </c>
      <c r="M593" s="122">
        <f t="shared" si="12"/>
        <v>60.377791116446588</v>
      </c>
      <c r="N593" s="122">
        <f t="shared" si="12"/>
        <v>60.306422569027617</v>
      </c>
      <c r="O593" s="122">
        <f t="shared" ref="C593:AC594" si="13">O618*1000</f>
        <v>60.235054021608647</v>
      </c>
      <c r="P593" s="122">
        <f t="shared" si="13"/>
        <v>60.163685474189684</v>
      </c>
      <c r="Q593" s="122">
        <f t="shared" si="13"/>
        <v>60.092316926770714</v>
      </c>
      <c r="R593" s="122">
        <f t="shared" si="13"/>
        <v>60.020948379351751</v>
      </c>
      <c r="S593" s="122">
        <f t="shared" si="13"/>
        <v>59.94957983193278</v>
      </c>
      <c r="T593" s="122">
        <f t="shared" si="13"/>
        <v>59.878211284513817</v>
      </c>
      <c r="U593" s="122">
        <f t="shared" si="13"/>
        <v>59.806842737094847</v>
      </c>
      <c r="V593" s="122">
        <f t="shared" si="13"/>
        <v>59.735474189675884</v>
      </c>
      <c r="W593" s="122">
        <f t="shared" si="13"/>
        <v>59.664105642256914</v>
      </c>
      <c r="X593" s="122">
        <f t="shared" si="13"/>
        <v>59.59273709483795</v>
      </c>
      <c r="Y593" s="122">
        <f t="shared" si="13"/>
        <v>59.52136854741898</v>
      </c>
      <c r="Z593" s="122">
        <f t="shared" si="13"/>
        <v>59.450000000000017</v>
      </c>
      <c r="AA593" s="122">
        <f t="shared" si="13"/>
        <v>59.378631452581047</v>
      </c>
      <c r="AB593" s="122">
        <f t="shared" si="13"/>
        <v>59.307262905162084</v>
      </c>
      <c r="AC593" s="122">
        <f t="shared" si="13"/>
        <v>59.235894357743113</v>
      </c>
    </row>
    <row r="594" spans="1:29" x14ac:dyDescent="0.35">
      <c r="A594" s="122" t="s">
        <v>527</v>
      </c>
      <c r="B594" s="122">
        <f t="shared" si="11"/>
        <v>30.104920093479958</v>
      </c>
      <c r="C594" s="122">
        <f t="shared" si="13"/>
        <v>29.689017903028052</v>
      </c>
      <c r="D594" s="122">
        <f t="shared" si="13"/>
        <v>29.273115712576157</v>
      </c>
      <c r="E594" s="122">
        <f t="shared" si="13"/>
        <v>28.857213522124258</v>
      </c>
      <c r="F594" s="122">
        <f t="shared" si="13"/>
        <v>28.441311331672356</v>
      </c>
      <c r="G594" s="122">
        <f t="shared" si="13"/>
        <v>28.025409141220457</v>
      </c>
      <c r="H594" s="122">
        <f t="shared" si="13"/>
        <v>27.609506950768555</v>
      </c>
      <c r="I594" s="122">
        <f t="shared" si="13"/>
        <v>27.193604760316649</v>
      </c>
      <c r="J594" s="122">
        <f t="shared" si="13"/>
        <v>27.161612284128044</v>
      </c>
      <c r="K594" s="122">
        <f t="shared" si="13"/>
        <v>27.129619807939434</v>
      </c>
      <c r="L594" s="122">
        <f t="shared" si="13"/>
        <v>27.097627331750829</v>
      </c>
      <c r="M594" s="122">
        <f t="shared" si="13"/>
        <v>27.065634855562219</v>
      </c>
      <c r="N594" s="122">
        <f t="shared" si="13"/>
        <v>27.033642379373614</v>
      </c>
      <c r="O594" s="122">
        <f t="shared" si="13"/>
        <v>27.001649903185005</v>
      </c>
      <c r="P594" s="122">
        <f t="shared" si="13"/>
        <v>26.969657426996399</v>
      </c>
      <c r="Q594" s="122">
        <f t="shared" si="13"/>
        <v>26.93766495080779</v>
      </c>
      <c r="R594" s="122">
        <f t="shared" si="13"/>
        <v>26.905672474619184</v>
      </c>
      <c r="S594" s="122">
        <f t="shared" si="13"/>
        <v>26.873679998430575</v>
      </c>
      <c r="T594" s="122">
        <f t="shared" si="13"/>
        <v>26.841687522241969</v>
      </c>
      <c r="U594" s="122">
        <f t="shared" si="13"/>
        <v>26.80969504605336</v>
      </c>
      <c r="V594" s="122">
        <f t="shared" si="13"/>
        <v>26.777702569864754</v>
      </c>
      <c r="W594" s="122">
        <f t="shared" si="13"/>
        <v>26.745710093676145</v>
      </c>
      <c r="X594" s="122">
        <f t="shared" si="13"/>
        <v>26.713717617487536</v>
      </c>
      <c r="Y594" s="122">
        <f t="shared" si="13"/>
        <v>26.681725141298926</v>
      </c>
      <c r="Z594" s="122">
        <f t="shared" si="13"/>
        <v>26.649732665110321</v>
      </c>
      <c r="AA594" s="122">
        <f t="shared" si="13"/>
        <v>26.617740188921712</v>
      </c>
      <c r="AB594" s="122">
        <f t="shared" si="13"/>
        <v>26.585747712733106</v>
      </c>
      <c r="AC594" s="122">
        <f t="shared" si="13"/>
        <v>26.553755236544493</v>
      </c>
    </row>
    <row r="598" spans="1:29" x14ac:dyDescent="0.35">
      <c r="B598" s="122">
        <v>2023</v>
      </c>
      <c r="C598" s="122">
        <v>2024</v>
      </c>
      <c r="D598" s="122">
        <v>2025</v>
      </c>
      <c r="E598" s="122">
        <v>2026</v>
      </c>
      <c r="F598" s="122">
        <v>2027</v>
      </c>
      <c r="G598" s="122">
        <v>2028</v>
      </c>
      <c r="H598" s="122">
        <v>2029</v>
      </c>
      <c r="I598" s="122">
        <v>2030</v>
      </c>
      <c r="J598" s="122">
        <v>2031</v>
      </c>
      <c r="K598" s="122">
        <v>2032</v>
      </c>
      <c r="L598" s="122">
        <v>2033</v>
      </c>
      <c r="M598" s="122">
        <v>2034</v>
      </c>
      <c r="N598" s="122">
        <v>2035</v>
      </c>
      <c r="O598" s="122">
        <v>2036</v>
      </c>
      <c r="P598" s="122">
        <v>2037</v>
      </c>
      <c r="Q598" s="122">
        <v>2038</v>
      </c>
      <c r="R598" s="122">
        <v>2039</v>
      </c>
      <c r="S598" s="122">
        <v>2040</v>
      </c>
      <c r="T598" s="122">
        <v>2041</v>
      </c>
      <c r="U598" s="122">
        <v>2042</v>
      </c>
      <c r="V598" s="122">
        <v>2043</v>
      </c>
      <c r="W598" s="122">
        <v>2044</v>
      </c>
      <c r="X598" s="122">
        <v>2045</v>
      </c>
      <c r="Y598" s="122">
        <v>2046</v>
      </c>
      <c r="Z598" s="122">
        <v>2047</v>
      </c>
      <c r="AA598" s="122">
        <v>2048</v>
      </c>
      <c r="AB598" s="122">
        <v>2049</v>
      </c>
      <c r="AC598" s="122">
        <v>2050</v>
      </c>
    </row>
    <row r="599" spans="1:29" x14ac:dyDescent="0.35">
      <c r="A599" s="122" t="s">
        <v>507</v>
      </c>
      <c r="B599" s="122">
        <v>7.5233329809999999E-2</v>
      </c>
      <c r="C599" s="122">
        <v>7.5233329809999999E-2</v>
      </c>
      <c r="D599" s="122">
        <v>7.5233329809999999E-2</v>
      </c>
      <c r="E599" s="122">
        <v>7.5233329809999999E-2</v>
      </c>
      <c r="F599" s="122">
        <v>7.5233329809999999E-2</v>
      </c>
      <c r="G599" s="122">
        <v>7.5233329809999999E-2</v>
      </c>
      <c r="H599" s="122">
        <v>7.5233329809999999E-2</v>
      </c>
      <c r="I599" s="122">
        <v>7.5233329809999999E-2</v>
      </c>
      <c r="J599" s="122">
        <v>7.6599996340000004E-2</v>
      </c>
      <c r="K599" s="122">
        <v>7.7966662870000009E-2</v>
      </c>
      <c r="L599" s="122">
        <v>7.9333329400000013E-2</v>
      </c>
      <c r="M599" s="122">
        <v>8.0699995930000018E-2</v>
      </c>
      <c r="N599" s="122">
        <v>8.2066662460000009E-2</v>
      </c>
      <c r="O599" s="122">
        <v>8.1106662556000006E-2</v>
      </c>
      <c r="P599" s="122">
        <v>8.0146662651999989E-2</v>
      </c>
      <c r="Q599" s="122">
        <v>7.9186662747999986E-2</v>
      </c>
      <c r="R599" s="122">
        <v>7.8226662843999983E-2</v>
      </c>
      <c r="S599" s="122">
        <v>7.7266662939999994E-2</v>
      </c>
      <c r="T599" s="122">
        <v>7.6306663035999991E-2</v>
      </c>
      <c r="U599" s="122">
        <v>7.5346663131999989E-2</v>
      </c>
      <c r="V599" s="122">
        <v>7.4386663227999986E-2</v>
      </c>
      <c r="W599" s="122">
        <v>7.3426663323999983E-2</v>
      </c>
      <c r="X599" s="122">
        <v>7.2466663419999994E-2</v>
      </c>
      <c r="Y599" s="122">
        <v>7.1506663515999991E-2</v>
      </c>
      <c r="Z599" s="122">
        <v>7.0546663611999988E-2</v>
      </c>
      <c r="AA599" s="122">
        <v>6.9586663707999985E-2</v>
      </c>
      <c r="AB599" s="122">
        <v>6.8626663803999982E-2</v>
      </c>
      <c r="AC599" s="122">
        <v>6.7666663899999993E-2</v>
      </c>
    </row>
    <row r="600" spans="1:29" x14ac:dyDescent="0.35">
      <c r="A600" s="122" t="s">
        <v>508</v>
      </c>
      <c r="B600" s="122">
        <v>0.16755030740877733</v>
      </c>
      <c r="C600" s="122">
        <v>0.16246311320948742</v>
      </c>
      <c r="D600" s="122">
        <v>0.1573759190101976</v>
      </c>
      <c r="E600" s="122">
        <v>0.15390105952791075</v>
      </c>
      <c r="F600" s="122">
        <v>0.1504262000456239</v>
      </c>
      <c r="G600" s="122">
        <v>0.14695134056333706</v>
      </c>
      <c r="H600" s="122">
        <v>0.14347648108105024</v>
      </c>
      <c r="I600" s="122">
        <v>0.14000162159876336</v>
      </c>
      <c r="J600" s="122">
        <v>0.13928851087301347</v>
      </c>
      <c r="K600" s="122">
        <v>0.13857540014726355</v>
      </c>
      <c r="L600" s="122">
        <v>0.13786228942151366</v>
      </c>
      <c r="M600" s="122">
        <v>0.13714917869576373</v>
      </c>
      <c r="N600" s="122">
        <v>0.13643606797001384</v>
      </c>
      <c r="O600" s="122">
        <v>0.13294825106115046</v>
      </c>
      <c r="P600" s="122">
        <v>0.12946043415228706</v>
      </c>
      <c r="Q600" s="122">
        <v>0.12597261724342368</v>
      </c>
      <c r="R600" s="122">
        <v>0.12248480033456027</v>
      </c>
      <c r="S600" s="122">
        <v>0.11899698342569687</v>
      </c>
      <c r="T600" s="122">
        <v>0.11578161519050338</v>
      </c>
      <c r="U600" s="122">
        <v>0.1125662469553099</v>
      </c>
      <c r="V600" s="122">
        <v>0.10935087872011641</v>
      </c>
      <c r="W600" s="122">
        <v>0.10613551048492292</v>
      </c>
      <c r="X600" s="122">
        <v>0.10292014224972944</v>
      </c>
      <c r="Y600" s="122">
        <v>0.10028722302472504</v>
      </c>
      <c r="Z600" s="122">
        <v>9.7654303799720649E-2</v>
      </c>
      <c r="AA600" s="122">
        <v>9.5021384574716261E-2</v>
      </c>
      <c r="AB600" s="122">
        <v>9.238846534971186E-2</v>
      </c>
      <c r="AC600" s="122">
        <v>8.9755546124707486E-2</v>
      </c>
    </row>
    <row r="601" spans="1:29" x14ac:dyDescent="0.35">
      <c r="A601" s="122" t="s">
        <v>509</v>
      </c>
      <c r="B601" s="122">
        <v>0.14785151321799878</v>
      </c>
      <c r="C601" s="122">
        <v>0.14416734608940909</v>
      </c>
      <c r="D601" s="122">
        <v>0.14048317896081941</v>
      </c>
      <c r="E601" s="122">
        <v>0.13815902447403705</v>
      </c>
      <c r="F601" s="122">
        <v>0.13583486998725472</v>
      </c>
      <c r="G601" s="122">
        <v>0.13351071550047239</v>
      </c>
      <c r="H601" s="122">
        <v>0.13118656101369006</v>
      </c>
      <c r="I601" s="122">
        <v>0.1288624065269077</v>
      </c>
      <c r="J601" s="122">
        <v>0.12952442606744893</v>
      </c>
      <c r="K601" s="122">
        <v>0.13018644560799014</v>
      </c>
      <c r="L601" s="122">
        <v>0.13084846514853138</v>
      </c>
      <c r="M601" s="122">
        <v>0.13151048468907259</v>
      </c>
      <c r="N601" s="122">
        <v>0.13217250422961382</v>
      </c>
      <c r="O601" s="122">
        <v>0.12928218732240185</v>
      </c>
      <c r="P601" s="122">
        <v>0.1263918704151899</v>
      </c>
      <c r="Q601" s="122">
        <v>0.12350155350797795</v>
      </c>
      <c r="R601" s="122">
        <v>0.120611236600766</v>
      </c>
      <c r="S601" s="122">
        <v>0.11772091969355404</v>
      </c>
      <c r="T601" s="122">
        <v>0.11508473489323738</v>
      </c>
      <c r="U601" s="122">
        <v>0.11244855009292071</v>
      </c>
      <c r="V601" s="122">
        <v>0.10981236529260403</v>
      </c>
      <c r="W601" s="122">
        <v>0.10717618049228736</v>
      </c>
      <c r="X601" s="122">
        <v>0.1045399956919707</v>
      </c>
      <c r="Y601" s="122">
        <v>0.10203375570164211</v>
      </c>
      <c r="Z601" s="122">
        <v>9.9527515711313519E-2</v>
      </c>
      <c r="AA601" s="122">
        <v>9.7021275720984915E-2</v>
      </c>
      <c r="AB601" s="122">
        <v>9.4515035730656324E-2</v>
      </c>
      <c r="AC601" s="122">
        <v>9.2008795740327734E-2</v>
      </c>
    </row>
    <row r="602" spans="1:29" x14ac:dyDescent="0.35">
      <c r="A602" s="122" t="s">
        <v>510</v>
      </c>
      <c r="B602" s="122">
        <v>0.32741318944512032</v>
      </c>
      <c r="C602" s="122">
        <v>0.31281277713864336</v>
      </c>
      <c r="D602" s="122">
        <v>0.29821236483216634</v>
      </c>
      <c r="E602" s="122">
        <v>0.28514319769921503</v>
      </c>
      <c r="F602" s="122">
        <v>0.27207403056626372</v>
      </c>
      <c r="G602" s="122">
        <v>0.25900486343331242</v>
      </c>
      <c r="H602" s="122">
        <v>0.24593569630036111</v>
      </c>
      <c r="I602" s="122">
        <v>0.23286652916740982</v>
      </c>
      <c r="J602" s="122">
        <v>0.22587777574244078</v>
      </c>
      <c r="K602" s="122">
        <v>0.21888902231747173</v>
      </c>
      <c r="L602" s="122">
        <v>0.21190026889250269</v>
      </c>
      <c r="M602" s="122">
        <v>0.20491151546753364</v>
      </c>
      <c r="N602" s="122">
        <v>0.19792276204256468</v>
      </c>
      <c r="O602" s="122">
        <v>0.19046603197751216</v>
      </c>
      <c r="P602" s="122">
        <v>0.18300930191245968</v>
      </c>
      <c r="Q602" s="122">
        <v>0.17555257184740719</v>
      </c>
      <c r="R602" s="122">
        <v>0.16809584178235468</v>
      </c>
      <c r="S602" s="122">
        <v>0.16063911171730211</v>
      </c>
      <c r="T602" s="122">
        <v>0.15556274856986607</v>
      </c>
      <c r="U602" s="122">
        <v>0.15048638542243004</v>
      </c>
      <c r="V602" s="122">
        <v>0.145410022274994</v>
      </c>
      <c r="W602" s="122">
        <v>0.14033365912755799</v>
      </c>
      <c r="X602" s="122">
        <v>0.13525729598012193</v>
      </c>
      <c r="Y602" s="122">
        <v>0.13172162740387633</v>
      </c>
      <c r="Z602" s="122">
        <v>0.12818595882763073</v>
      </c>
      <c r="AA602" s="122">
        <v>0.12465029025138512</v>
      </c>
      <c r="AB602" s="122">
        <v>0.12111462167513951</v>
      </c>
      <c r="AC602" s="122">
        <v>0.11757895309889392</v>
      </c>
    </row>
    <row r="603" spans="1:29" x14ac:dyDescent="0.35">
      <c r="A603" s="122" t="s">
        <v>511</v>
      </c>
      <c r="B603" s="122">
        <v>5.7951260504201685E-2</v>
      </c>
      <c r="C603" s="122">
        <v>5.3954621848739497E-2</v>
      </c>
      <c r="D603" s="122">
        <v>4.9957983193277315E-2</v>
      </c>
      <c r="E603" s="122">
        <v>4.5961344537815127E-2</v>
      </c>
      <c r="F603" s="122">
        <v>4.1964705882352946E-2</v>
      </c>
      <c r="G603" s="122">
        <v>3.7968067226890764E-2</v>
      </c>
      <c r="H603" s="122">
        <v>3.3971428571428583E-2</v>
      </c>
      <c r="I603" s="122">
        <v>2.9974789915966391E-2</v>
      </c>
      <c r="J603" s="122">
        <v>2.9368157262905165E-2</v>
      </c>
      <c r="K603" s="122">
        <v>2.8761524609843939E-2</v>
      </c>
      <c r="L603" s="122">
        <v>2.8154891956782713E-2</v>
      </c>
      <c r="M603" s="122">
        <v>2.7548259303721487E-2</v>
      </c>
      <c r="N603" s="122">
        <v>2.6941626650660268E-2</v>
      </c>
      <c r="O603" s="122">
        <v>2.6334993997599043E-2</v>
      </c>
      <c r="P603" s="122">
        <v>2.5728361344537817E-2</v>
      </c>
      <c r="Q603" s="122">
        <v>2.5121728691476591E-2</v>
      </c>
      <c r="R603" s="122">
        <v>2.4515096038415365E-2</v>
      </c>
      <c r="S603" s="122">
        <v>2.3908463385354146E-2</v>
      </c>
      <c r="T603" s="122">
        <v>2.330183073229292E-2</v>
      </c>
      <c r="U603" s="122">
        <v>2.2695198079231694E-2</v>
      </c>
      <c r="V603" s="122">
        <v>2.2088565426170468E-2</v>
      </c>
      <c r="W603" s="122">
        <v>2.1481932773109242E-2</v>
      </c>
      <c r="X603" s="122">
        <v>2.0875300120048023E-2</v>
      </c>
      <c r="Y603" s="122">
        <v>2.0268667466986797E-2</v>
      </c>
      <c r="Z603" s="122">
        <v>1.9662034813925571E-2</v>
      </c>
      <c r="AA603" s="122">
        <v>1.9055402160864345E-2</v>
      </c>
      <c r="AB603" s="122">
        <v>1.8448769507803119E-2</v>
      </c>
      <c r="AC603" s="122">
        <v>1.78421368547419E-2</v>
      </c>
    </row>
    <row r="604" spans="1:29" x14ac:dyDescent="0.35">
      <c r="A604" s="122" t="s">
        <v>512</v>
      </c>
      <c r="B604" s="122">
        <v>5.7951260504201685E-2</v>
      </c>
      <c r="C604" s="122">
        <v>5.3954621848739497E-2</v>
      </c>
      <c r="D604" s="122">
        <v>4.9957983193277315E-2</v>
      </c>
      <c r="E604" s="122">
        <v>4.5961344537815127E-2</v>
      </c>
      <c r="F604" s="122">
        <v>4.1964705882352946E-2</v>
      </c>
      <c r="G604" s="122">
        <v>3.7968067226890764E-2</v>
      </c>
      <c r="H604" s="122">
        <v>3.3971428571428583E-2</v>
      </c>
      <c r="I604" s="122">
        <v>2.9974789915966391E-2</v>
      </c>
      <c r="J604" s="122">
        <v>2.9368157262905165E-2</v>
      </c>
      <c r="K604" s="122">
        <v>2.8761524609843939E-2</v>
      </c>
      <c r="L604" s="122">
        <v>2.8154891956782713E-2</v>
      </c>
      <c r="M604" s="122">
        <v>2.7548259303721487E-2</v>
      </c>
      <c r="N604" s="122">
        <v>2.6941626650660268E-2</v>
      </c>
      <c r="O604" s="122">
        <v>2.6334993997599043E-2</v>
      </c>
      <c r="P604" s="122">
        <v>2.5728361344537817E-2</v>
      </c>
      <c r="Q604" s="122">
        <v>2.5121728691476591E-2</v>
      </c>
      <c r="R604" s="122">
        <v>2.4515096038415365E-2</v>
      </c>
      <c r="S604" s="122">
        <v>2.3908463385354146E-2</v>
      </c>
      <c r="T604" s="122">
        <v>2.330183073229292E-2</v>
      </c>
      <c r="U604" s="122">
        <v>2.2695198079231694E-2</v>
      </c>
      <c r="V604" s="122">
        <v>2.2088565426170468E-2</v>
      </c>
      <c r="W604" s="122">
        <v>2.1481932773109242E-2</v>
      </c>
      <c r="X604" s="122">
        <v>2.0875300120048023E-2</v>
      </c>
      <c r="Y604" s="122">
        <v>2.0268667466986797E-2</v>
      </c>
      <c r="Z604" s="122">
        <v>1.9662034813925571E-2</v>
      </c>
      <c r="AA604" s="122">
        <v>1.9055402160864345E-2</v>
      </c>
      <c r="AB604" s="122">
        <v>1.8448769507803119E-2</v>
      </c>
      <c r="AC604" s="122">
        <v>1.78421368547419E-2</v>
      </c>
    </row>
    <row r="605" spans="1:29" x14ac:dyDescent="0.35">
      <c r="A605" s="122" t="s">
        <v>513</v>
      </c>
      <c r="B605" s="122">
        <v>2.5977890665149557E-2</v>
      </c>
      <c r="C605" s="122">
        <v>2.418631199858752E-2</v>
      </c>
      <c r="D605" s="122">
        <v>2.2394733332025477E-2</v>
      </c>
      <c r="E605" s="122">
        <v>2.060315466546344E-2</v>
      </c>
      <c r="F605" s="122">
        <v>1.8811575998901403E-2</v>
      </c>
      <c r="G605" s="122">
        <v>1.7019997332339366E-2</v>
      </c>
      <c r="H605" s="122">
        <v>1.5228418665777328E-2</v>
      </c>
      <c r="I605" s="122">
        <v>1.3436839999215288E-2</v>
      </c>
      <c r="J605" s="122">
        <v>1.3164903951612121E-2</v>
      </c>
      <c r="K605" s="122">
        <v>1.2892967904008954E-2</v>
      </c>
      <c r="L605" s="122">
        <v>1.2621031856405788E-2</v>
      </c>
      <c r="M605" s="122">
        <v>1.2349095808802621E-2</v>
      </c>
      <c r="N605" s="122">
        <v>1.2077159761199453E-2</v>
      </c>
      <c r="O605" s="122">
        <v>1.1805223713596286E-2</v>
      </c>
      <c r="P605" s="122">
        <v>1.153328766599312E-2</v>
      </c>
      <c r="Q605" s="122">
        <v>1.1261351618389953E-2</v>
      </c>
      <c r="R605" s="122">
        <v>1.0989415570786787E-2</v>
      </c>
      <c r="S605" s="122">
        <v>1.0717479523183622E-2</v>
      </c>
      <c r="T605" s="122">
        <v>1.0445543475580455E-2</v>
      </c>
      <c r="U605" s="122">
        <v>1.0173607427977288E-2</v>
      </c>
      <c r="V605" s="122">
        <v>9.9016713803741219E-3</v>
      </c>
      <c r="W605" s="122">
        <v>9.6297353327709553E-3</v>
      </c>
      <c r="X605" s="122">
        <v>9.3577992851677887E-3</v>
      </c>
      <c r="Y605" s="122">
        <v>9.0858632375646221E-3</v>
      </c>
      <c r="Z605" s="122">
        <v>8.8139271899614555E-3</v>
      </c>
      <c r="AA605" s="122">
        <v>8.5419911423582889E-3</v>
      </c>
      <c r="AB605" s="122">
        <v>8.2700550947551223E-3</v>
      </c>
      <c r="AC605" s="122">
        <v>7.9981190471519557E-3</v>
      </c>
    </row>
    <row r="606" spans="1:29" x14ac:dyDescent="0.35">
      <c r="A606" s="122" t="s">
        <v>514</v>
      </c>
      <c r="B606" s="122">
        <v>8.0999995899999996E-2</v>
      </c>
      <c r="C606" s="122">
        <v>8.0999995899999996E-2</v>
      </c>
      <c r="D606" s="122">
        <v>8.0999995899999996E-2</v>
      </c>
      <c r="E606" s="122">
        <v>8.0999995899999996E-2</v>
      </c>
      <c r="F606" s="122">
        <v>8.0999995899999996E-2</v>
      </c>
      <c r="G606" s="122">
        <v>8.0999995899999996E-2</v>
      </c>
      <c r="H606" s="122">
        <v>8.0999995899999996E-2</v>
      </c>
      <c r="I606" s="122">
        <v>8.0999995899999996E-2</v>
      </c>
      <c r="J606" s="122">
        <v>8.3066662360000001E-2</v>
      </c>
      <c r="K606" s="122">
        <v>8.5133328820000007E-2</v>
      </c>
      <c r="L606" s="122">
        <v>8.7199995280000012E-2</v>
      </c>
      <c r="M606" s="122">
        <v>8.9266661740000017E-2</v>
      </c>
      <c r="N606" s="122">
        <v>9.1333328199999994E-2</v>
      </c>
      <c r="O606" s="122">
        <v>9.046666162E-2</v>
      </c>
      <c r="P606" s="122">
        <v>8.9599995039999991E-2</v>
      </c>
      <c r="Q606" s="122">
        <v>8.8733328459999983E-2</v>
      </c>
      <c r="R606" s="122">
        <v>8.7866661879999974E-2</v>
      </c>
      <c r="S606" s="122">
        <v>8.6999995299999994E-2</v>
      </c>
      <c r="T606" s="122">
        <v>8.6133328719999985E-2</v>
      </c>
      <c r="U606" s="122">
        <v>8.5266662139999991E-2</v>
      </c>
      <c r="V606" s="122">
        <v>8.4399995559999982E-2</v>
      </c>
      <c r="W606" s="122">
        <v>8.3533328979999974E-2</v>
      </c>
      <c r="X606" s="122">
        <v>8.2666662399999993E-2</v>
      </c>
      <c r="Y606" s="122">
        <v>8.1799995819999985E-2</v>
      </c>
      <c r="Z606" s="122">
        <v>8.093332923999999E-2</v>
      </c>
      <c r="AA606" s="122">
        <v>8.0066662659999982E-2</v>
      </c>
      <c r="AB606" s="122">
        <v>7.9199996079999987E-2</v>
      </c>
      <c r="AC606" s="122">
        <v>7.8333329499999993E-2</v>
      </c>
    </row>
    <row r="607" spans="1:29" x14ac:dyDescent="0.35">
      <c r="A607" s="122" t="s">
        <v>515</v>
      </c>
      <c r="B607" s="122">
        <v>0.17650758633144634</v>
      </c>
      <c r="C607" s="122">
        <v>0.17141203646151962</v>
      </c>
      <c r="D607" s="122">
        <v>0.16631648659159295</v>
      </c>
      <c r="E607" s="122">
        <v>0.16281432766630949</v>
      </c>
      <c r="F607" s="122">
        <v>0.15931216874102602</v>
      </c>
      <c r="G607" s="122">
        <v>0.15581000981574256</v>
      </c>
      <c r="H607" s="122">
        <v>0.15230785089045909</v>
      </c>
      <c r="I607" s="122">
        <v>0.1488056919651756</v>
      </c>
      <c r="J607" s="122">
        <v>0.14909793604375518</v>
      </c>
      <c r="K607" s="122">
        <v>0.14939018012233476</v>
      </c>
      <c r="L607" s="122">
        <v>0.14968242420091435</v>
      </c>
      <c r="M607" s="122">
        <v>0.14997466827949391</v>
      </c>
      <c r="N607" s="122">
        <v>0.15026691235807355</v>
      </c>
      <c r="O607" s="122">
        <v>0.14685063279900346</v>
      </c>
      <c r="P607" s="122">
        <v>0.14343435323993334</v>
      </c>
      <c r="Q607" s="122">
        <v>0.14001807368086325</v>
      </c>
      <c r="R607" s="122">
        <v>0.13660179412179316</v>
      </c>
      <c r="S607" s="122">
        <v>0.1331855145627231</v>
      </c>
      <c r="T607" s="122">
        <v>0.13003016708307891</v>
      </c>
      <c r="U607" s="122">
        <v>0.12687481960343472</v>
      </c>
      <c r="V607" s="122">
        <v>0.12371947212379053</v>
      </c>
      <c r="W607" s="122">
        <v>0.12056412464414634</v>
      </c>
      <c r="X607" s="122">
        <v>0.11740877716450215</v>
      </c>
      <c r="Y607" s="122">
        <v>0.11483288597039364</v>
      </c>
      <c r="Z607" s="122">
        <v>0.11225699477628512</v>
      </c>
      <c r="AA607" s="122">
        <v>0.10968110358217659</v>
      </c>
      <c r="AB607" s="122">
        <v>0.10710521238806807</v>
      </c>
      <c r="AC607" s="122">
        <v>0.10452932119395957</v>
      </c>
    </row>
    <row r="608" spans="1:29" x14ac:dyDescent="0.35">
      <c r="A608" s="122" t="s">
        <v>516</v>
      </c>
      <c r="B608" s="122">
        <v>0.15796068463848831</v>
      </c>
      <c r="C608" s="122">
        <v>0.15426708731267802</v>
      </c>
      <c r="D608" s="122">
        <v>0.1505734899868677</v>
      </c>
      <c r="E608" s="122">
        <v>0.14821852539008218</v>
      </c>
      <c r="F608" s="122">
        <v>0.14586356079329663</v>
      </c>
      <c r="G608" s="122">
        <v>0.1435085961965111</v>
      </c>
      <c r="H608" s="122">
        <v>0.14115363159972555</v>
      </c>
      <c r="I608" s="122">
        <v>0.13879866700293997</v>
      </c>
      <c r="J608" s="122">
        <v>0.1405953284523826</v>
      </c>
      <c r="K608" s="122">
        <v>0.14239198990182525</v>
      </c>
      <c r="L608" s="122">
        <v>0.14418865135126788</v>
      </c>
      <c r="M608" s="122">
        <v>0.14598531280071053</v>
      </c>
      <c r="N608" s="122">
        <v>0.14778197425015313</v>
      </c>
      <c r="O608" s="122">
        <v>0.14497239428752798</v>
      </c>
      <c r="P608" s="122">
        <v>0.14216281432490285</v>
      </c>
      <c r="Q608" s="122">
        <v>0.1393532343622777</v>
      </c>
      <c r="R608" s="122">
        <v>0.13654365439965255</v>
      </c>
      <c r="S608" s="122">
        <v>0.13373407443702739</v>
      </c>
      <c r="T608" s="122">
        <v>0.13116562897048312</v>
      </c>
      <c r="U608" s="122">
        <v>0.12859718350393887</v>
      </c>
      <c r="V608" s="122">
        <v>0.12602873803739459</v>
      </c>
      <c r="W608" s="122">
        <v>0.1234602925708503</v>
      </c>
      <c r="X608" s="122">
        <v>0.12089184710430603</v>
      </c>
      <c r="Y608" s="122">
        <v>0.11844996886324041</v>
      </c>
      <c r="Z608" s="122">
        <v>0.11600809062217481</v>
      </c>
      <c r="AA608" s="122">
        <v>0.1135662123811092</v>
      </c>
      <c r="AB608" s="122">
        <v>0.11112433414004359</v>
      </c>
      <c r="AC608" s="122">
        <v>0.10868245589897794</v>
      </c>
    </row>
    <row r="609" spans="1:29" x14ac:dyDescent="0.35">
      <c r="A609" s="122" t="s">
        <v>517</v>
      </c>
      <c r="B609" s="122">
        <v>0.33860978809845654</v>
      </c>
      <c r="C609" s="122">
        <v>0.32399893120368356</v>
      </c>
      <c r="D609" s="122">
        <v>0.30938807430891058</v>
      </c>
      <c r="E609" s="122">
        <v>0.29628478287221349</v>
      </c>
      <c r="F609" s="122">
        <v>0.28318149143551641</v>
      </c>
      <c r="G609" s="122">
        <v>0.27007819999881932</v>
      </c>
      <c r="H609" s="122">
        <v>0.25697490856212224</v>
      </c>
      <c r="I609" s="122">
        <v>0.24387161712542507</v>
      </c>
      <c r="J609" s="122">
        <v>0.23813955720586791</v>
      </c>
      <c r="K609" s="122">
        <v>0.23240749728631072</v>
      </c>
      <c r="L609" s="122">
        <v>0.22667543736675355</v>
      </c>
      <c r="M609" s="122">
        <v>0.22094337744719639</v>
      </c>
      <c r="N609" s="122">
        <v>0.21521131752763925</v>
      </c>
      <c r="O609" s="122">
        <v>0.20784400914982837</v>
      </c>
      <c r="P609" s="122">
        <v>0.20047670077201749</v>
      </c>
      <c r="Q609" s="122">
        <v>0.19310939239420657</v>
      </c>
      <c r="R609" s="122">
        <v>0.18574208401639569</v>
      </c>
      <c r="S609" s="122">
        <v>0.17837477563858489</v>
      </c>
      <c r="T609" s="122">
        <v>0.17337343843558548</v>
      </c>
      <c r="U609" s="122">
        <v>0.16837210123258603</v>
      </c>
      <c r="V609" s="122">
        <v>0.16337076402958661</v>
      </c>
      <c r="W609" s="122">
        <v>0.15836942682658722</v>
      </c>
      <c r="X609" s="122">
        <v>0.15336808962358783</v>
      </c>
      <c r="Y609" s="122">
        <v>0.14990370608596207</v>
      </c>
      <c r="Z609" s="122">
        <v>0.1464393225483363</v>
      </c>
      <c r="AA609" s="122">
        <v>0.14297493901071057</v>
      </c>
      <c r="AB609" s="122">
        <v>0.1395105554730848</v>
      </c>
      <c r="AC609" s="122">
        <v>0.13604617193545901</v>
      </c>
    </row>
    <row r="610" spans="1:29" x14ac:dyDescent="0.35">
      <c r="A610" s="122" t="s">
        <v>518</v>
      </c>
      <c r="B610" s="122">
        <v>6.4802641056422569E-2</v>
      </c>
      <c r="C610" s="122">
        <v>6.3089795918367345E-2</v>
      </c>
      <c r="D610" s="122">
        <v>6.1376950780312127E-2</v>
      </c>
      <c r="E610" s="122">
        <v>5.9664105642256909E-2</v>
      </c>
      <c r="F610" s="122">
        <v>5.7951260504201692E-2</v>
      </c>
      <c r="G610" s="122">
        <v>5.6238415366146474E-2</v>
      </c>
      <c r="H610" s="122">
        <v>5.4525570228091257E-2</v>
      </c>
      <c r="I610" s="122">
        <v>5.2812725090036025E-2</v>
      </c>
      <c r="J610" s="122">
        <v>5.2313145258103252E-2</v>
      </c>
      <c r="K610" s="122">
        <v>5.181356542617048E-2</v>
      </c>
      <c r="L610" s="122">
        <v>5.1313985594237707E-2</v>
      </c>
      <c r="M610" s="122">
        <v>5.0814405762304934E-2</v>
      </c>
      <c r="N610" s="122">
        <v>5.0314825930372155E-2</v>
      </c>
      <c r="O610" s="122">
        <v>4.9815246098439382E-2</v>
      </c>
      <c r="P610" s="122">
        <v>4.931566626650661E-2</v>
      </c>
      <c r="Q610" s="122">
        <v>4.8816086434573837E-2</v>
      </c>
      <c r="R610" s="122">
        <v>4.8316506602641064E-2</v>
      </c>
      <c r="S610" s="122">
        <v>4.7816926770708292E-2</v>
      </c>
      <c r="T610" s="122">
        <v>4.7317346938775519E-2</v>
      </c>
      <c r="U610" s="122">
        <v>4.6817767106842746E-2</v>
      </c>
      <c r="V610" s="122">
        <v>4.6318187274909974E-2</v>
      </c>
      <c r="W610" s="122">
        <v>4.5818607442977201E-2</v>
      </c>
      <c r="X610" s="122">
        <v>4.5319027611044428E-2</v>
      </c>
      <c r="Y610" s="122">
        <v>4.4819447779111656E-2</v>
      </c>
      <c r="Z610" s="122">
        <v>4.4319867947178883E-2</v>
      </c>
      <c r="AA610" s="122">
        <v>4.382028811524611E-2</v>
      </c>
      <c r="AB610" s="122">
        <v>4.3320708283313338E-2</v>
      </c>
      <c r="AC610" s="122">
        <v>4.2821128451380565E-2</v>
      </c>
    </row>
    <row r="611" spans="1:29" x14ac:dyDescent="0.35">
      <c r="A611" s="122" t="s">
        <v>519</v>
      </c>
      <c r="B611" s="122">
        <v>6.4802641056422569E-2</v>
      </c>
      <c r="C611" s="122">
        <v>6.3089795918367345E-2</v>
      </c>
      <c r="D611" s="122">
        <v>6.1376950780312127E-2</v>
      </c>
      <c r="E611" s="122">
        <v>5.9664105642256909E-2</v>
      </c>
      <c r="F611" s="122">
        <v>5.7951260504201692E-2</v>
      </c>
      <c r="G611" s="122">
        <v>5.6238415366146474E-2</v>
      </c>
      <c r="H611" s="122">
        <v>5.4525570228091257E-2</v>
      </c>
      <c r="I611" s="122">
        <v>5.2812725090036025E-2</v>
      </c>
      <c r="J611" s="122">
        <v>5.2313145258103252E-2</v>
      </c>
      <c r="K611" s="122">
        <v>5.181356542617048E-2</v>
      </c>
      <c r="L611" s="122">
        <v>5.1313985594237707E-2</v>
      </c>
      <c r="M611" s="122">
        <v>5.0814405762304934E-2</v>
      </c>
      <c r="N611" s="122">
        <v>5.0314825930372155E-2</v>
      </c>
      <c r="O611" s="122">
        <v>4.9815246098439382E-2</v>
      </c>
      <c r="P611" s="122">
        <v>4.931566626650661E-2</v>
      </c>
      <c r="Q611" s="122">
        <v>4.8816086434573837E-2</v>
      </c>
      <c r="R611" s="122">
        <v>4.8316506602641064E-2</v>
      </c>
      <c r="S611" s="122">
        <v>4.7816926770708292E-2</v>
      </c>
      <c r="T611" s="122">
        <v>4.7317346938775519E-2</v>
      </c>
      <c r="U611" s="122">
        <v>4.6817767106842746E-2</v>
      </c>
      <c r="V611" s="122">
        <v>4.6318187274909974E-2</v>
      </c>
      <c r="W611" s="122">
        <v>4.5818607442977201E-2</v>
      </c>
      <c r="X611" s="122">
        <v>4.5319027611044428E-2</v>
      </c>
      <c r="Y611" s="122">
        <v>4.4819447779111656E-2</v>
      </c>
      <c r="Z611" s="122">
        <v>4.4319867947178883E-2</v>
      </c>
      <c r="AA611" s="122">
        <v>4.382028811524611E-2</v>
      </c>
      <c r="AB611" s="122">
        <v>4.3320708283313338E-2</v>
      </c>
      <c r="AC611" s="122">
        <v>4.2821128451380565E-2</v>
      </c>
    </row>
    <row r="612" spans="1:29" x14ac:dyDescent="0.35">
      <c r="A612" s="122" t="s">
        <v>520</v>
      </c>
      <c r="B612" s="122">
        <v>2.9049168379255901E-2</v>
      </c>
      <c r="C612" s="122">
        <v>2.8281348950729313E-2</v>
      </c>
      <c r="D612" s="122">
        <v>2.7513529522202727E-2</v>
      </c>
      <c r="E612" s="122">
        <v>2.6745710093676139E-2</v>
      </c>
      <c r="F612" s="122">
        <v>2.597789066514955E-2</v>
      </c>
      <c r="G612" s="122">
        <v>2.5210071236622961E-2</v>
      </c>
      <c r="H612" s="122">
        <v>2.4442251808096373E-2</v>
      </c>
      <c r="I612" s="122">
        <v>2.3674432379569791E-2</v>
      </c>
      <c r="J612" s="122">
        <v>2.3450485046249536E-2</v>
      </c>
      <c r="K612" s="122">
        <v>2.322653771292928E-2</v>
      </c>
      <c r="L612" s="122">
        <v>2.3002590379609025E-2</v>
      </c>
      <c r="M612" s="122">
        <v>2.2778643046288769E-2</v>
      </c>
      <c r="N612" s="122">
        <v>2.2554695712968514E-2</v>
      </c>
      <c r="O612" s="122">
        <v>2.2330748379648258E-2</v>
      </c>
      <c r="P612" s="122">
        <v>2.2106801046328003E-2</v>
      </c>
      <c r="Q612" s="122">
        <v>2.1882853713007747E-2</v>
      </c>
      <c r="R612" s="122">
        <v>2.1658906379687492E-2</v>
      </c>
      <c r="S612" s="122">
        <v>2.1434959046367243E-2</v>
      </c>
      <c r="T612" s="122">
        <v>2.1211011713046988E-2</v>
      </c>
      <c r="U612" s="122">
        <v>2.0987064379726732E-2</v>
      </c>
      <c r="V612" s="122">
        <v>2.0763117046406477E-2</v>
      </c>
      <c r="W612" s="122">
        <v>2.0539169713086221E-2</v>
      </c>
      <c r="X612" s="122">
        <v>2.0315222379765973E-2</v>
      </c>
      <c r="Y612" s="122">
        <v>2.0091275046445718E-2</v>
      </c>
      <c r="Z612" s="122">
        <v>1.9867327713125462E-2</v>
      </c>
      <c r="AA612" s="122">
        <v>1.9643380379805207E-2</v>
      </c>
      <c r="AB612" s="122">
        <v>1.9419433046484951E-2</v>
      </c>
      <c r="AC612" s="122">
        <v>1.9195485713164699E-2</v>
      </c>
    </row>
    <row r="613" spans="1:29" x14ac:dyDescent="0.35">
      <c r="A613" s="122" t="s">
        <v>521</v>
      </c>
      <c r="B613" s="122">
        <v>9.4166661249999992E-2</v>
      </c>
      <c r="C613" s="122">
        <v>9.4166661249999992E-2</v>
      </c>
      <c r="D613" s="122">
        <v>9.4166661249999992E-2</v>
      </c>
      <c r="E613" s="122">
        <v>9.4166661249999992E-2</v>
      </c>
      <c r="F613" s="122">
        <v>9.4166661249999992E-2</v>
      </c>
      <c r="G613" s="122">
        <v>9.4166661249999992E-2</v>
      </c>
      <c r="H613" s="122">
        <v>9.4166661249999992E-2</v>
      </c>
      <c r="I613" s="122">
        <v>9.4166661249999992E-2</v>
      </c>
      <c r="J613" s="122">
        <v>9.5999994399999997E-2</v>
      </c>
      <c r="K613" s="122">
        <v>9.7833327550000002E-2</v>
      </c>
      <c r="L613" s="122">
        <v>9.9666660700000007E-2</v>
      </c>
      <c r="M613" s="122">
        <v>0.10149999385000001</v>
      </c>
      <c r="N613" s="122">
        <v>0.103333327</v>
      </c>
      <c r="O613" s="122">
        <v>0.1023333271</v>
      </c>
      <c r="P613" s="122">
        <v>0.10133332719999999</v>
      </c>
      <c r="Q613" s="122">
        <v>0.10033332729999998</v>
      </c>
      <c r="R613" s="122">
        <v>9.9333327399999977E-2</v>
      </c>
      <c r="S613" s="122">
        <v>9.8333327499999998E-2</v>
      </c>
      <c r="T613" s="122">
        <v>9.7333327599999991E-2</v>
      </c>
      <c r="U613" s="122">
        <v>9.6333327699999985E-2</v>
      </c>
      <c r="V613" s="122">
        <v>9.5333327799999978E-2</v>
      </c>
      <c r="W613" s="122">
        <v>9.4333327899999986E-2</v>
      </c>
      <c r="X613" s="122">
        <v>9.3333328000000007E-2</v>
      </c>
      <c r="Y613" s="122">
        <v>9.2333328100000001E-2</v>
      </c>
      <c r="Z613" s="122">
        <v>9.1333328199999994E-2</v>
      </c>
      <c r="AA613" s="122">
        <v>9.0333328299999988E-2</v>
      </c>
      <c r="AB613" s="122">
        <v>8.9333328399999981E-2</v>
      </c>
      <c r="AC613" s="122">
        <v>8.8333328500000016E-2</v>
      </c>
    </row>
    <row r="614" spans="1:29" x14ac:dyDescent="0.35">
      <c r="A614" s="122" t="s">
        <v>522</v>
      </c>
      <c r="B614" s="122">
        <v>0.19695917693522813</v>
      </c>
      <c r="C614" s="122">
        <v>0.1918445490889919</v>
      </c>
      <c r="D614" s="122">
        <v>0.1867299212427557</v>
      </c>
      <c r="E614" s="122">
        <v>0.18316543121930073</v>
      </c>
      <c r="F614" s="122">
        <v>0.1796009411958458</v>
      </c>
      <c r="G614" s="122">
        <v>0.17603645117239083</v>
      </c>
      <c r="H614" s="122">
        <v>0.17247196114893587</v>
      </c>
      <c r="I614" s="122">
        <v>0.16890747112548093</v>
      </c>
      <c r="J614" s="122">
        <v>0.16876144856602932</v>
      </c>
      <c r="K614" s="122">
        <v>0.16861542600657767</v>
      </c>
      <c r="L614" s="122">
        <v>0.16846940344712602</v>
      </c>
      <c r="M614" s="122">
        <v>0.1683233808876744</v>
      </c>
      <c r="N614" s="122">
        <v>0.16817735832822278</v>
      </c>
      <c r="O614" s="122">
        <v>0.16448316805908789</v>
      </c>
      <c r="P614" s="122">
        <v>0.16078897778995299</v>
      </c>
      <c r="Q614" s="122">
        <v>0.15709478752081807</v>
      </c>
      <c r="R614" s="122">
        <v>0.15340059725168312</v>
      </c>
      <c r="S614" s="122">
        <v>0.1497064069825482</v>
      </c>
      <c r="T614" s="122">
        <v>0.14627718374621171</v>
      </c>
      <c r="U614" s="122">
        <v>0.14284796050987525</v>
      </c>
      <c r="V614" s="122">
        <v>0.13941873727353876</v>
      </c>
      <c r="W614" s="122">
        <v>0.13598951403720227</v>
      </c>
      <c r="X614" s="122">
        <v>0.13256029080086582</v>
      </c>
      <c r="Y614" s="122">
        <v>0.12972417970496936</v>
      </c>
      <c r="Z614" s="122">
        <v>0.12688806860907287</v>
      </c>
      <c r="AA614" s="122">
        <v>0.12405195751317638</v>
      </c>
      <c r="AB614" s="122">
        <v>0.12121584641727991</v>
      </c>
      <c r="AC614" s="122">
        <v>0.11837973532138339</v>
      </c>
    </row>
    <row r="615" spans="1:29" x14ac:dyDescent="0.35">
      <c r="A615" s="122" t="s">
        <v>523</v>
      </c>
      <c r="B615" s="122">
        <v>0.18104231880665794</v>
      </c>
      <c r="C615" s="122">
        <v>0.17732719010569079</v>
      </c>
      <c r="D615" s="122">
        <v>0.17361206140472354</v>
      </c>
      <c r="E615" s="122">
        <v>0.17118675002498271</v>
      </c>
      <c r="F615" s="122">
        <v>0.16876143864524187</v>
      </c>
      <c r="G615" s="122">
        <v>0.16633612726550104</v>
      </c>
      <c r="H615" s="122">
        <v>0.1639108158857602</v>
      </c>
      <c r="I615" s="122">
        <v>0.16148550450601945</v>
      </c>
      <c r="J615" s="122">
        <v>0.1627875388918204</v>
      </c>
      <c r="K615" s="122">
        <v>0.16408957327762139</v>
      </c>
      <c r="L615" s="122">
        <v>0.16539160766342234</v>
      </c>
      <c r="M615" s="122">
        <v>0.16669364204922332</v>
      </c>
      <c r="N615" s="122">
        <v>0.16799567643502425</v>
      </c>
      <c r="O615" s="122">
        <v>0.16487244686609676</v>
      </c>
      <c r="P615" s="122">
        <v>0.16174921729716923</v>
      </c>
      <c r="Q615" s="122">
        <v>0.15862598772824177</v>
      </c>
      <c r="R615" s="122">
        <v>0.15550275815931427</v>
      </c>
      <c r="S615" s="122">
        <v>0.15237952859038681</v>
      </c>
      <c r="T615" s="122">
        <v>0.14950198735980291</v>
      </c>
      <c r="U615" s="122">
        <v>0.14662444612921899</v>
      </c>
      <c r="V615" s="122">
        <v>0.14374690489863506</v>
      </c>
      <c r="W615" s="122">
        <v>0.14086936366805117</v>
      </c>
      <c r="X615" s="122">
        <v>0.13799182243746722</v>
      </c>
      <c r="Y615" s="122">
        <v>0.1352562604095163</v>
      </c>
      <c r="Z615" s="122">
        <v>0.13252069838156535</v>
      </c>
      <c r="AA615" s="122">
        <v>0.12978513635361441</v>
      </c>
      <c r="AB615" s="122">
        <v>0.12704957432566347</v>
      </c>
      <c r="AC615" s="122">
        <v>0.12431401229771254</v>
      </c>
    </row>
    <row r="616" spans="1:29" x14ac:dyDescent="0.35">
      <c r="A616" s="122" t="s">
        <v>524</v>
      </c>
      <c r="B616" s="122">
        <v>0.36417427635318367</v>
      </c>
      <c r="C616" s="122">
        <v>0.34953957198802377</v>
      </c>
      <c r="D616" s="122">
        <v>0.33490486762286403</v>
      </c>
      <c r="E616" s="122">
        <v>0.32172366231345256</v>
      </c>
      <c r="F616" s="122">
        <v>0.30854245700404115</v>
      </c>
      <c r="G616" s="122">
        <v>0.29536125169462968</v>
      </c>
      <c r="H616" s="122">
        <v>0.28218004638521826</v>
      </c>
      <c r="I616" s="122">
        <v>0.26899884107580674</v>
      </c>
      <c r="J616" s="122">
        <v>0.26271894785871058</v>
      </c>
      <c r="K616" s="122">
        <v>0.25643905464161443</v>
      </c>
      <c r="L616" s="122">
        <v>0.25015916142451827</v>
      </c>
      <c r="M616" s="122">
        <v>0.24387926820742209</v>
      </c>
      <c r="N616" s="122">
        <v>0.23759937499032585</v>
      </c>
      <c r="O616" s="122">
        <v>0.22988467822493394</v>
      </c>
      <c r="P616" s="122">
        <v>0.22216998145954203</v>
      </c>
      <c r="Q616" s="122">
        <v>0.21445528469415012</v>
      </c>
      <c r="R616" s="122">
        <v>0.20674058792875821</v>
      </c>
      <c r="S616" s="122">
        <v>0.19902589116336625</v>
      </c>
      <c r="T616" s="122">
        <v>0.19368220926450147</v>
      </c>
      <c r="U616" s="122">
        <v>0.18833852736563667</v>
      </c>
      <c r="V616" s="122">
        <v>0.18299484546677189</v>
      </c>
      <c r="W616" s="122">
        <v>0.17765116356790711</v>
      </c>
      <c r="X616" s="122">
        <v>0.17230748166904239</v>
      </c>
      <c r="Y616" s="122">
        <v>0.16851782325418166</v>
      </c>
      <c r="Z616" s="122">
        <v>0.16472816483932096</v>
      </c>
      <c r="AA616" s="122">
        <v>0.16093850642446025</v>
      </c>
      <c r="AB616" s="122">
        <v>0.15714884800959955</v>
      </c>
      <c r="AC616" s="122">
        <v>0.15335918959473879</v>
      </c>
    </row>
    <row r="617" spans="1:29" x14ac:dyDescent="0.35">
      <c r="A617" s="122" t="s">
        <v>525</v>
      </c>
      <c r="B617" s="122">
        <v>6.7157803121248486E-2</v>
      </c>
      <c r="C617" s="122">
        <v>6.62300120048019E-2</v>
      </c>
      <c r="D617" s="122">
        <v>6.5302220888355342E-2</v>
      </c>
      <c r="E617" s="122">
        <v>6.437442977190877E-2</v>
      </c>
      <c r="F617" s="122">
        <v>6.3446638655462198E-2</v>
      </c>
      <c r="G617" s="122">
        <v>6.2518847539015626E-2</v>
      </c>
      <c r="H617" s="122">
        <v>6.1591056422569047E-2</v>
      </c>
      <c r="I617" s="122">
        <v>6.0663265306122455E-2</v>
      </c>
      <c r="J617" s="122">
        <v>6.0591896758703488E-2</v>
      </c>
      <c r="K617" s="122">
        <v>6.0520528211284522E-2</v>
      </c>
      <c r="L617" s="122">
        <v>6.0449159663865555E-2</v>
      </c>
      <c r="M617" s="122">
        <v>6.0377791116446589E-2</v>
      </c>
      <c r="N617" s="122">
        <v>6.0306422569027615E-2</v>
      </c>
      <c r="O617" s="122">
        <v>6.0235054021608649E-2</v>
      </c>
      <c r="P617" s="122">
        <v>6.0163685474189682E-2</v>
      </c>
      <c r="Q617" s="122">
        <v>6.0092316926770716E-2</v>
      </c>
      <c r="R617" s="122">
        <v>6.0020948379351749E-2</v>
      </c>
      <c r="S617" s="122">
        <v>5.9949579831932782E-2</v>
      </c>
      <c r="T617" s="122">
        <v>5.9878211284513816E-2</v>
      </c>
      <c r="U617" s="122">
        <v>5.9806842737094849E-2</v>
      </c>
      <c r="V617" s="122">
        <v>5.9735474189675883E-2</v>
      </c>
      <c r="W617" s="122">
        <v>5.9664105642256916E-2</v>
      </c>
      <c r="X617" s="122">
        <v>5.959273709483795E-2</v>
      </c>
      <c r="Y617" s="122">
        <v>5.9521368547418983E-2</v>
      </c>
      <c r="Z617" s="122">
        <v>5.9450000000000017E-2</v>
      </c>
      <c r="AA617" s="122">
        <v>5.937863145258105E-2</v>
      </c>
      <c r="AB617" s="122">
        <v>5.9307262905162084E-2</v>
      </c>
      <c r="AC617" s="122">
        <v>5.923589435774311E-2</v>
      </c>
    </row>
    <row r="618" spans="1:29" x14ac:dyDescent="0.35">
      <c r="A618" s="122" t="s">
        <v>526</v>
      </c>
      <c r="B618" s="122">
        <v>6.7157803121248486E-2</v>
      </c>
      <c r="C618" s="122">
        <v>6.62300120048019E-2</v>
      </c>
      <c r="D618" s="122">
        <v>6.5302220888355342E-2</v>
      </c>
      <c r="E618" s="122">
        <v>6.437442977190877E-2</v>
      </c>
      <c r="F618" s="122">
        <v>6.3446638655462198E-2</v>
      </c>
      <c r="G618" s="122">
        <v>6.2518847539015626E-2</v>
      </c>
      <c r="H618" s="122">
        <v>6.1591056422569047E-2</v>
      </c>
      <c r="I618" s="122">
        <v>6.0663265306122455E-2</v>
      </c>
      <c r="J618" s="122">
        <v>6.0591896758703488E-2</v>
      </c>
      <c r="K618" s="122">
        <v>6.0520528211284522E-2</v>
      </c>
      <c r="L618" s="122">
        <v>6.0449159663865555E-2</v>
      </c>
      <c r="M618" s="122">
        <v>6.0377791116446589E-2</v>
      </c>
      <c r="N618" s="122">
        <v>6.0306422569027615E-2</v>
      </c>
      <c r="O618" s="122">
        <v>6.0235054021608649E-2</v>
      </c>
      <c r="P618" s="122">
        <v>6.0163685474189682E-2</v>
      </c>
      <c r="Q618" s="122">
        <v>6.0092316926770716E-2</v>
      </c>
      <c r="R618" s="122">
        <v>6.0020948379351749E-2</v>
      </c>
      <c r="S618" s="122">
        <v>5.9949579831932782E-2</v>
      </c>
      <c r="T618" s="122">
        <v>5.9878211284513816E-2</v>
      </c>
      <c r="U618" s="122">
        <v>5.9806842737094849E-2</v>
      </c>
      <c r="V618" s="122">
        <v>5.9735474189675883E-2</v>
      </c>
      <c r="W618" s="122">
        <v>5.9664105642256916E-2</v>
      </c>
      <c r="X618" s="122">
        <v>5.959273709483795E-2</v>
      </c>
      <c r="Y618" s="122">
        <v>5.9521368547418983E-2</v>
      </c>
      <c r="Z618" s="122">
        <v>5.9450000000000017E-2</v>
      </c>
      <c r="AA618" s="122">
        <v>5.937863145258105E-2</v>
      </c>
      <c r="AB618" s="122">
        <v>5.9307262905162084E-2</v>
      </c>
      <c r="AC618" s="122">
        <v>5.923589435774311E-2</v>
      </c>
    </row>
    <row r="619" spans="1:29" x14ac:dyDescent="0.35">
      <c r="A619" s="122" t="s">
        <v>527</v>
      </c>
      <c r="B619" s="122">
        <v>3.0104920093479957E-2</v>
      </c>
      <c r="C619" s="122">
        <v>2.9689017903028053E-2</v>
      </c>
      <c r="D619" s="122">
        <v>2.9273115712576157E-2</v>
      </c>
      <c r="E619" s="122">
        <v>2.8857213522124257E-2</v>
      </c>
      <c r="F619" s="122">
        <v>2.8441311331672357E-2</v>
      </c>
      <c r="G619" s="122">
        <v>2.8025409141220457E-2</v>
      </c>
      <c r="H619" s="122">
        <v>2.7609506950768557E-2</v>
      </c>
      <c r="I619" s="122">
        <v>2.719360476031665E-2</v>
      </c>
      <c r="J619" s="122">
        <v>2.7161612284128042E-2</v>
      </c>
      <c r="K619" s="122">
        <v>2.7129619807939435E-2</v>
      </c>
      <c r="L619" s="122">
        <v>2.7097627331750827E-2</v>
      </c>
      <c r="M619" s="122">
        <v>2.706563485556222E-2</v>
      </c>
      <c r="N619" s="122">
        <v>2.7033642379373612E-2</v>
      </c>
      <c r="O619" s="122">
        <v>2.7001649903185005E-2</v>
      </c>
      <c r="P619" s="122">
        <v>2.6969657426996398E-2</v>
      </c>
      <c r="Q619" s="122">
        <v>2.693766495080779E-2</v>
      </c>
      <c r="R619" s="122">
        <v>2.6905672474619183E-2</v>
      </c>
      <c r="S619" s="122">
        <v>2.6873679998430575E-2</v>
      </c>
      <c r="T619" s="122">
        <v>2.6841687522241968E-2</v>
      </c>
      <c r="U619" s="122">
        <v>2.680969504605336E-2</v>
      </c>
      <c r="V619" s="122">
        <v>2.6777702569864753E-2</v>
      </c>
      <c r="W619" s="122">
        <v>2.6745710093676146E-2</v>
      </c>
      <c r="X619" s="122">
        <v>2.6713717617487535E-2</v>
      </c>
      <c r="Y619" s="122">
        <v>2.6681725141298927E-2</v>
      </c>
      <c r="Z619" s="122">
        <v>2.664973266511032E-2</v>
      </c>
      <c r="AA619" s="122">
        <v>2.6617740188921712E-2</v>
      </c>
      <c r="AB619" s="122">
        <v>2.6585747712733105E-2</v>
      </c>
      <c r="AC619" s="122">
        <v>2.6553755236544494E-2</v>
      </c>
    </row>
    <row r="623" spans="1:29" x14ac:dyDescent="0.35">
      <c r="B623" s="122">
        <v>2023</v>
      </c>
      <c r="C623" s="122">
        <v>2028</v>
      </c>
      <c r="D623" s="122">
        <v>2034</v>
      </c>
      <c r="E623" s="122">
        <v>2040</v>
      </c>
      <c r="F623" s="122">
        <v>2050</v>
      </c>
    </row>
    <row r="624" spans="1:29" x14ac:dyDescent="0.35">
      <c r="A624" s="122" t="s">
        <v>507</v>
      </c>
      <c r="B624" s="122">
        <f>B574</f>
        <v>75.233329810000001</v>
      </c>
      <c r="C624" s="122">
        <f>G574</f>
        <v>75.233329810000001</v>
      </c>
      <c r="D624" s="122">
        <f>M574</f>
        <v>80.699995930000014</v>
      </c>
      <c r="E624" s="122">
        <f>S574</f>
        <v>77.266662939999989</v>
      </c>
      <c r="F624" s="122">
        <f>AC574</f>
        <v>67.666663899999989</v>
      </c>
    </row>
    <row r="625" spans="1:6" x14ac:dyDescent="0.35">
      <c r="A625" s="122" t="s">
        <v>508</v>
      </c>
      <c r="B625" s="122">
        <f t="shared" ref="B625:B644" si="14">B575</f>
        <v>167.55030740877731</v>
      </c>
      <c r="C625" s="122">
        <f t="shared" ref="C625:C644" si="15">G575</f>
        <v>146.95134056333706</v>
      </c>
      <c r="D625" s="122">
        <f t="shared" ref="D625:D644" si="16">M575</f>
        <v>137.14917869576374</v>
      </c>
      <c r="E625" s="122">
        <f t="shared" ref="E625:E644" si="17">S575</f>
        <v>118.99698342569687</v>
      </c>
      <c r="F625" s="122">
        <f t="shared" ref="F625:F644" si="18">AC575</f>
        <v>89.755546124707479</v>
      </c>
    </row>
    <row r="626" spans="1:6" x14ac:dyDescent="0.35">
      <c r="A626" s="122" t="s">
        <v>509</v>
      </c>
      <c r="B626" s="122">
        <f t="shared" si="14"/>
        <v>147.85151321799879</v>
      </c>
      <c r="C626" s="122">
        <f t="shared" si="15"/>
        <v>133.5107155004724</v>
      </c>
      <c r="D626" s="122">
        <f t="shared" si="16"/>
        <v>131.5104846890726</v>
      </c>
      <c r="E626" s="122">
        <f t="shared" si="17"/>
        <v>117.72091969355404</v>
      </c>
      <c r="F626" s="122">
        <f t="shared" si="18"/>
        <v>92.008795740327727</v>
      </c>
    </row>
    <row r="627" spans="1:6" x14ac:dyDescent="0.35">
      <c r="A627" s="122" t="s">
        <v>510</v>
      </c>
      <c r="B627" s="122">
        <f t="shared" si="14"/>
        <v>327.41318944512034</v>
      </c>
      <c r="C627" s="122">
        <f t="shared" si="15"/>
        <v>259.00486343331244</v>
      </c>
      <c r="D627" s="122">
        <f t="shared" si="16"/>
        <v>204.91151546753363</v>
      </c>
      <c r="E627" s="122">
        <f t="shared" si="17"/>
        <v>160.63911171730211</v>
      </c>
      <c r="F627" s="122">
        <f t="shared" si="18"/>
        <v>117.57895309889392</v>
      </c>
    </row>
    <row r="628" spans="1:6" x14ac:dyDescent="0.35">
      <c r="A628" s="122" t="s">
        <v>511</v>
      </c>
      <c r="B628" s="122">
        <f t="shared" si="14"/>
        <v>57.951260504201684</v>
      </c>
      <c r="C628" s="122">
        <f t="shared" si="15"/>
        <v>37.968067226890767</v>
      </c>
      <c r="D628" s="122">
        <f t="shared" si="16"/>
        <v>27.548259303721487</v>
      </c>
      <c r="E628" s="122">
        <f t="shared" si="17"/>
        <v>23.908463385354146</v>
      </c>
      <c r="F628" s="122">
        <f t="shared" si="18"/>
        <v>17.842136854741899</v>
      </c>
    </row>
    <row r="629" spans="1:6" x14ac:dyDescent="0.35">
      <c r="A629" s="122" t="s">
        <v>512</v>
      </c>
      <c r="B629" s="122">
        <f t="shared" si="14"/>
        <v>57.951260504201684</v>
      </c>
      <c r="C629" s="122">
        <f t="shared" si="15"/>
        <v>37.968067226890767</v>
      </c>
      <c r="D629" s="122">
        <f t="shared" si="16"/>
        <v>27.548259303721487</v>
      </c>
      <c r="E629" s="122">
        <f t="shared" si="17"/>
        <v>23.908463385354146</v>
      </c>
      <c r="F629" s="122">
        <f t="shared" si="18"/>
        <v>17.842136854741899</v>
      </c>
    </row>
    <row r="630" spans="1:6" x14ac:dyDescent="0.35">
      <c r="A630" s="122" t="s">
        <v>513</v>
      </c>
      <c r="B630" s="122">
        <f t="shared" si="14"/>
        <v>25.977890665149555</v>
      </c>
      <c r="C630" s="122">
        <f t="shared" si="15"/>
        <v>17.019997332339365</v>
      </c>
      <c r="D630" s="122">
        <f t="shared" si="16"/>
        <v>12.349095808802621</v>
      </c>
      <c r="E630" s="122">
        <f t="shared" si="17"/>
        <v>10.717479523183622</v>
      </c>
      <c r="F630" s="122">
        <f t="shared" si="18"/>
        <v>7.9981190471519561</v>
      </c>
    </row>
    <row r="631" spans="1:6" x14ac:dyDescent="0.35">
      <c r="A631" s="122" t="s">
        <v>514</v>
      </c>
      <c r="B631" s="122">
        <f t="shared" si="14"/>
        <v>80.999995900000002</v>
      </c>
      <c r="C631" s="122">
        <f t="shared" si="15"/>
        <v>80.999995900000002</v>
      </c>
      <c r="D631" s="122">
        <f t="shared" si="16"/>
        <v>89.266661740000018</v>
      </c>
      <c r="E631" s="122">
        <f t="shared" si="17"/>
        <v>86.999995299999995</v>
      </c>
      <c r="F631" s="122">
        <f t="shared" si="18"/>
        <v>78.333329499999991</v>
      </c>
    </row>
    <row r="632" spans="1:6" x14ac:dyDescent="0.35">
      <c r="A632" s="122" t="s">
        <v>515</v>
      </c>
      <c r="B632" s="122">
        <f t="shared" si="14"/>
        <v>176.50758633144633</v>
      </c>
      <c r="C632" s="122">
        <f t="shared" si="15"/>
        <v>155.81000981574255</v>
      </c>
      <c r="D632" s="122">
        <f t="shared" si="16"/>
        <v>149.9746682794939</v>
      </c>
      <c r="E632" s="122">
        <f t="shared" si="17"/>
        <v>133.18551456272309</v>
      </c>
      <c r="F632" s="122">
        <f t="shared" si="18"/>
        <v>104.52932119395956</v>
      </c>
    </row>
    <row r="633" spans="1:6" x14ac:dyDescent="0.35">
      <c r="A633" s="122" t="s">
        <v>516</v>
      </c>
      <c r="B633" s="122">
        <f t="shared" si="14"/>
        <v>157.96068463848832</v>
      </c>
      <c r="C633" s="122">
        <f t="shared" si="15"/>
        <v>143.50859619651109</v>
      </c>
      <c r="D633" s="122">
        <f t="shared" si="16"/>
        <v>145.98531280071055</v>
      </c>
      <c r="E633" s="122">
        <f t="shared" si="17"/>
        <v>133.7340744370274</v>
      </c>
      <c r="F633" s="122">
        <f t="shared" si="18"/>
        <v>108.68245589897795</v>
      </c>
    </row>
    <row r="634" spans="1:6" x14ac:dyDescent="0.35">
      <c r="A634" s="122" t="s">
        <v>517</v>
      </c>
      <c r="B634" s="122">
        <f t="shared" si="14"/>
        <v>338.60978809845653</v>
      </c>
      <c r="C634" s="122">
        <f t="shared" si="15"/>
        <v>270.07819999881934</v>
      </c>
      <c r="D634" s="122">
        <f t="shared" si="16"/>
        <v>220.94337744719638</v>
      </c>
      <c r="E634" s="122">
        <f t="shared" si="17"/>
        <v>178.37477563858488</v>
      </c>
      <c r="F634" s="122">
        <f t="shared" si="18"/>
        <v>136.046171935459</v>
      </c>
    </row>
    <row r="635" spans="1:6" x14ac:dyDescent="0.35">
      <c r="A635" s="122" t="s">
        <v>518</v>
      </c>
      <c r="B635" s="122">
        <f t="shared" si="14"/>
        <v>64.802641056422573</v>
      </c>
      <c r="C635" s="122">
        <f t="shared" si="15"/>
        <v>56.238415366146477</v>
      </c>
      <c r="D635" s="122">
        <f t="shared" si="16"/>
        <v>50.814405762304936</v>
      </c>
      <c r="E635" s="122">
        <f t="shared" si="17"/>
        <v>47.816926770708292</v>
      </c>
      <c r="F635" s="122">
        <f t="shared" si="18"/>
        <v>42.821128451380567</v>
      </c>
    </row>
    <row r="636" spans="1:6" x14ac:dyDescent="0.35">
      <c r="A636" s="122" t="s">
        <v>519</v>
      </c>
      <c r="B636" s="122">
        <f t="shared" si="14"/>
        <v>64.802641056422573</v>
      </c>
      <c r="C636" s="122">
        <f t="shared" si="15"/>
        <v>56.238415366146477</v>
      </c>
      <c r="D636" s="122">
        <f t="shared" si="16"/>
        <v>50.814405762304936</v>
      </c>
      <c r="E636" s="122">
        <f t="shared" si="17"/>
        <v>47.816926770708292</v>
      </c>
      <c r="F636" s="122">
        <f t="shared" si="18"/>
        <v>42.821128451380567</v>
      </c>
    </row>
    <row r="637" spans="1:6" x14ac:dyDescent="0.35">
      <c r="A637" s="122" t="s">
        <v>520</v>
      </c>
      <c r="B637" s="122">
        <f t="shared" si="14"/>
        <v>29.049168379255899</v>
      </c>
      <c r="C637" s="122">
        <f t="shared" si="15"/>
        <v>25.210071236622962</v>
      </c>
      <c r="D637" s="122">
        <f t="shared" si="16"/>
        <v>22.778643046288771</v>
      </c>
      <c r="E637" s="122">
        <f t="shared" si="17"/>
        <v>21.434959046367243</v>
      </c>
      <c r="F637" s="122">
        <f t="shared" si="18"/>
        <v>19.1954857131647</v>
      </c>
    </row>
    <row r="638" spans="1:6" x14ac:dyDescent="0.35">
      <c r="A638" s="122" t="s">
        <v>521</v>
      </c>
      <c r="B638" s="122">
        <f t="shared" si="14"/>
        <v>94.16666124999999</v>
      </c>
      <c r="C638" s="122">
        <f t="shared" si="15"/>
        <v>94.16666124999999</v>
      </c>
      <c r="D638" s="122">
        <f t="shared" si="16"/>
        <v>101.49999385000001</v>
      </c>
      <c r="E638" s="122">
        <f t="shared" si="17"/>
        <v>98.333327499999996</v>
      </c>
      <c r="F638" s="122">
        <f t="shared" si="18"/>
        <v>88.333328500000022</v>
      </c>
    </row>
    <row r="639" spans="1:6" x14ac:dyDescent="0.35">
      <c r="A639" s="122" t="s">
        <v>522</v>
      </c>
      <c r="B639" s="122">
        <f t="shared" si="14"/>
        <v>196.95917693522813</v>
      </c>
      <c r="C639" s="122">
        <f t="shared" si="15"/>
        <v>176.03645117239083</v>
      </c>
      <c r="D639" s="122">
        <f t="shared" si="16"/>
        <v>168.3233808876744</v>
      </c>
      <c r="E639" s="122">
        <f t="shared" si="17"/>
        <v>149.7064069825482</v>
      </c>
      <c r="F639" s="122">
        <f t="shared" si="18"/>
        <v>118.37973532138339</v>
      </c>
    </row>
    <row r="640" spans="1:6" x14ac:dyDescent="0.35">
      <c r="A640" s="122" t="s">
        <v>523</v>
      </c>
      <c r="B640" s="122">
        <f t="shared" si="14"/>
        <v>181.04231880665793</v>
      </c>
      <c r="C640" s="122">
        <f t="shared" si="15"/>
        <v>166.33612726550103</v>
      </c>
      <c r="D640" s="122">
        <f t="shared" si="16"/>
        <v>166.69364204922331</v>
      </c>
      <c r="E640" s="122">
        <f t="shared" si="17"/>
        <v>152.3795285903868</v>
      </c>
      <c r="F640" s="122">
        <f t="shared" si="18"/>
        <v>124.31401229771254</v>
      </c>
    </row>
    <row r="641" spans="1:6" x14ac:dyDescent="0.35">
      <c r="A641" s="122" t="s">
        <v>524</v>
      </c>
      <c r="B641" s="122">
        <f t="shared" si="14"/>
        <v>364.17427635318364</v>
      </c>
      <c r="C641" s="122">
        <f t="shared" si="15"/>
        <v>295.36125169462969</v>
      </c>
      <c r="D641" s="122">
        <f t="shared" si="16"/>
        <v>243.87926820742209</v>
      </c>
      <c r="E641" s="122">
        <f t="shared" si="17"/>
        <v>199.02589116336625</v>
      </c>
      <c r="F641" s="122">
        <f t="shared" si="18"/>
        <v>153.35918959473878</v>
      </c>
    </row>
    <row r="642" spans="1:6" x14ac:dyDescent="0.35">
      <c r="A642" s="122" t="s">
        <v>525</v>
      </c>
      <c r="B642" s="122">
        <f t="shared" si="14"/>
        <v>67.157803121248492</v>
      </c>
      <c r="C642" s="122">
        <f t="shared" si="15"/>
        <v>62.518847539015624</v>
      </c>
      <c r="D642" s="122">
        <f t="shared" si="16"/>
        <v>60.377791116446588</v>
      </c>
      <c r="E642" s="122">
        <f t="shared" si="17"/>
        <v>59.94957983193278</v>
      </c>
      <c r="F642" s="122">
        <f t="shared" si="18"/>
        <v>59.235894357743113</v>
      </c>
    </row>
    <row r="643" spans="1:6" x14ac:dyDescent="0.35">
      <c r="A643" s="122" t="s">
        <v>526</v>
      </c>
      <c r="B643" s="122">
        <f t="shared" si="14"/>
        <v>67.157803121248492</v>
      </c>
      <c r="C643" s="122">
        <f t="shared" si="15"/>
        <v>62.518847539015624</v>
      </c>
      <c r="D643" s="122">
        <f t="shared" si="16"/>
        <v>60.377791116446588</v>
      </c>
      <c r="E643" s="122">
        <f t="shared" si="17"/>
        <v>59.94957983193278</v>
      </c>
      <c r="F643" s="122">
        <f t="shared" si="18"/>
        <v>59.235894357743113</v>
      </c>
    </row>
    <row r="644" spans="1:6" x14ac:dyDescent="0.35">
      <c r="A644" s="122" t="s">
        <v>527</v>
      </c>
      <c r="B644" s="122">
        <f t="shared" si="14"/>
        <v>30.104920093479958</v>
      </c>
      <c r="C644" s="122">
        <f t="shared" si="15"/>
        <v>28.025409141220457</v>
      </c>
      <c r="D644" s="122">
        <f t="shared" si="16"/>
        <v>27.065634855562219</v>
      </c>
      <c r="E644" s="122">
        <f t="shared" si="17"/>
        <v>26.873679998430575</v>
      </c>
      <c r="F644" s="122">
        <f t="shared" si="18"/>
        <v>26.553755236544493</v>
      </c>
    </row>
    <row r="649" spans="1:6" x14ac:dyDescent="0.35">
      <c r="B649" s="122">
        <v>2023</v>
      </c>
      <c r="C649" s="122">
        <v>2028</v>
      </c>
      <c r="D649" s="122">
        <v>2034</v>
      </c>
      <c r="E649" s="122">
        <v>2040</v>
      </c>
      <c r="F649" s="122">
        <v>2050</v>
      </c>
    </row>
    <row r="650" spans="1:6" x14ac:dyDescent="0.35">
      <c r="A650" s="122" t="s">
        <v>514</v>
      </c>
      <c r="B650" s="122">
        <f>B631</f>
        <v>80.999995900000002</v>
      </c>
      <c r="C650" s="122">
        <f t="shared" ref="C650:F650" si="19">C631</f>
        <v>80.999995900000002</v>
      </c>
      <c r="D650" s="122">
        <f t="shared" si="19"/>
        <v>89.266661740000018</v>
      </c>
      <c r="E650" s="122">
        <f t="shared" si="19"/>
        <v>86.999995299999995</v>
      </c>
      <c r="F650" s="122">
        <f t="shared" si="19"/>
        <v>78.333329499999991</v>
      </c>
    </row>
    <row r="651" spans="1:6" x14ac:dyDescent="0.35">
      <c r="A651" s="122" t="s">
        <v>507</v>
      </c>
      <c r="B651" s="122">
        <f>B650-B624</f>
        <v>5.7666660900000011</v>
      </c>
      <c r="C651" s="122">
        <f t="shared" ref="C651:F651" si="20">C650-C624</f>
        <v>5.7666660900000011</v>
      </c>
      <c r="D651" s="122">
        <f t="shared" si="20"/>
        <v>8.5666658100000035</v>
      </c>
      <c r="E651" s="122">
        <f t="shared" si="20"/>
        <v>9.7333323600000057</v>
      </c>
      <c r="F651" s="122">
        <f t="shared" si="20"/>
        <v>10.666665600000002</v>
      </c>
    </row>
    <row r="652" spans="1:6" x14ac:dyDescent="0.35">
      <c r="A652" s="122" t="s">
        <v>521</v>
      </c>
      <c r="B652" s="122">
        <f>B638-B650</f>
        <v>13.166665349999988</v>
      </c>
      <c r="C652" s="122">
        <f t="shared" ref="C652:F652" si="21">C638-C650</f>
        <v>13.166665349999988</v>
      </c>
      <c r="D652" s="122">
        <f t="shared" si="21"/>
        <v>12.233332109999992</v>
      </c>
      <c r="E652" s="122">
        <f t="shared" si="21"/>
        <v>11.333332200000001</v>
      </c>
      <c r="F652" s="122">
        <f t="shared" si="21"/>
        <v>9.9999990000000309</v>
      </c>
    </row>
    <row r="654" spans="1:6" x14ac:dyDescent="0.35">
      <c r="A654" s="122" t="s">
        <v>515</v>
      </c>
      <c r="B654" s="122">
        <f t="shared" ref="B654:F654" si="22">B632</f>
        <v>176.50758633144633</v>
      </c>
      <c r="C654" s="122">
        <f t="shared" si="22"/>
        <v>155.81000981574255</v>
      </c>
      <c r="D654" s="122">
        <f t="shared" si="22"/>
        <v>149.9746682794939</v>
      </c>
      <c r="E654" s="122">
        <f t="shared" si="22"/>
        <v>133.18551456272309</v>
      </c>
      <c r="F654" s="122">
        <f t="shared" si="22"/>
        <v>104.52932119395956</v>
      </c>
    </row>
    <row r="655" spans="1:6" x14ac:dyDescent="0.35">
      <c r="A655" s="122" t="s">
        <v>508</v>
      </c>
      <c r="B655" s="122">
        <f>B654-B625</f>
        <v>8.957278922669019</v>
      </c>
      <c r="C655" s="122">
        <f t="shared" ref="C655:F655" si="23">C654-C625</f>
        <v>8.8586692524054911</v>
      </c>
      <c r="D655" s="122">
        <f t="shared" si="23"/>
        <v>12.82548958373016</v>
      </c>
      <c r="E655" s="122">
        <f t="shared" si="23"/>
        <v>14.188531137026217</v>
      </c>
      <c r="F655" s="122">
        <f t="shared" si="23"/>
        <v>14.773775069252082</v>
      </c>
    </row>
    <row r="656" spans="1:6" x14ac:dyDescent="0.35">
      <c r="A656" s="122" t="s">
        <v>522</v>
      </c>
      <c r="B656" s="122">
        <f>B639-B654</f>
        <v>20.451590603781796</v>
      </c>
      <c r="C656" s="122">
        <f t="shared" ref="C656:F656" si="24">C639-C654</f>
        <v>20.22644135664828</v>
      </c>
      <c r="D656" s="122">
        <f t="shared" si="24"/>
        <v>18.348712608180506</v>
      </c>
      <c r="E656" s="122">
        <f t="shared" si="24"/>
        <v>16.520892419825117</v>
      </c>
      <c r="F656" s="122">
        <f t="shared" si="24"/>
        <v>13.850414127423832</v>
      </c>
    </row>
    <row r="658" spans="1:6" x14ac:dyDescent="0.35">
      <c r="A658" s="122" t="s">
        <v>516</v>
      </c>
      <c r="B658" s="122">
        <f>B633</f>
        <v>157.96068463848832</v>
      </c>
      <c r="C658" s="122">
        <f>C633</f>
        <v>143.50859619651109</v>
      </c>
      <c r="D658" s="122">
        <f>D633</f>
        <v>145.98531280071055</v>
      </c>
      <c r="E658" s="122">
        <f>E633</f>
        <v>133.7340744370274</v>
      </c>
      <c r="F658" s="122">
        <f>F633</f>
        <v>108.68245589897795</v>
      </c>
    </row>
    <row r="659" spans="1:6" x14ac:dyDescent="0.35">
      <c r="A659" s="122" t="s">
        <v>509</v>
      </c>
      <c r="B659" s="122">
        <f>B658-B626</f>
        <v>10.109171420489531</v>
      </c>
      <c r="C659" s="122">
        <f t="shared" ref="C659:F659" si="25">C658-C626</f>
        <v>9.9978806960386919</v>
      </c>
      <c r="D659" s="122">
        <f t="shared" si="25"/>
        <v>14.474828111637947</v>
      </c>
      <c r="E659" s="122">
        <f t="shared" si="25"/>
        <v>16.013154743473365</v>
      </c>
      <c r="F659" s="122">
        <f t="shared" si="25"/>
        <v>16.673660158650222</v>
      </c>
    </row>
    <row r="660" spans="1:6" x14ac:dyDescent="0.35">
      <c r="A660" s="122" t="s">
        <v>523</v>
      </c>
      <c r="B660" s="122">
        <f>B640-B658</f>
        <v>23.081634168169614</v>
      </c>
      <c r="C660" s="122">
        <f t="shared" ref="C660:F660" si="26">C640-C658</f>
        <v>22.827531068989941</v>
      </c>
      <c r="D660" s="122">
        <f t="shared" si="26"/>
        <v>20.708329248512769</v>
      </c>
      <c r="E660" s="122">
        <f t="shared" si="26"/>
        <v>18.645454153359395</v>
      </c>
      <c r="F660" s="122">
        <f t="shared" si="26"/>
        <v>15.631556398734588</v>
      </c>
    </row>
    <row r="662" spans="1:6" x14ac:dyDescent="0.35">
      <c r="A662" s="122" t="s">
        <v>517</v>
      </c>
      <c r="B662" s="122">
        <f>B634</f>
        <v>338.60978809845653</v>
      </c>
      <c r="C662" s="122">
        <f>C634</f>
        <v>270.07819999881934</v>
      </c>
      <c r="D662" s="122">
        <f>D634</f>
        <v>220.94337744719638</v>
      </c>
      <c r="E662" s="122">
        <f>E634</f>
        <v>178.37477563858488</v>
      </c>
      <c r="F662" s="122">
        <f>F634</f>
        <v>136.046171935459</v>
      </c>
    </row>
    <row r="663" spans="1:6" x14ac:dyDescent="0.35">
      <c r="A663" s="122" t="s">
        <v>510</v>
      </c>
      <c r="B663" s="122">
        <f>B662-B627</f>
        <v>11.196598653336196</v>
      </c>
      <c r="C663" s="122">
        <f t="shared" ref="C663:F663" si="27">C662-C627</f>
        <v>11.073336565506906</v>
      </c>
      <c r="D663" s="122">
        <f t="shared" si="27"/>
        <v>16.03186197966275</v>
      </c>
      <c r="E663" s="122">
        <f t="shared" si="27"/>
        <v>17.735663921282764</v>
      </c>
      <c r="F663" s="122">
        <f t="shared" si="27"/>
        <v>18.467218836565081</v>
      </c>
    </row>
    <row r="664" spans="1:6" x14ac:dyDescent="0.35">
      <c r="A664" s="122" t="s">
        <v>524</v>
      </c>
      <c r="B664" s="122">
        <f>B641-B662</f>
        <v>25.56448825472711</v>
      </c>
      <c r="C664" s="122">
        <f t="shared" ref="C664:F664" si="28">C641-C662</f>
        <v>25.283051695810343</v>
      </c>
      <c r="D664" s="122">
        <f t="shared" si="28"/>
        <v>22.935890760225703</v>
      </c>
      <c r="E664" s="122">
        <f t="shared" si="28"/>
        <v>20.651115524781375</v>
      </c>
      <c r="F664" s="122">
        <f t="shared" si="28"/>
        <v>17.31301765927978</v>
      </c>
    </row>
    <row r="666" spans="1:6" x14ac:dyDescent="0.35">
      <c r="A666" s="122" t="s">
        <v>518</v>
      </c>
      <c r="B666" s="122">
        <f>B635</f>
        <v>64.802641056422573</v>
      </c>
      <c r="C666" s="122">
        <f>C635</f>
        <v>56.238415366146477</v>
      </c>
      <c r="D666" s="122">
        <f>D635</f>
        <v>50.814405762304936</v>
      </c>
      <c r="E666" s="122">
        <f>E635</f>
        <v>47.816926770708292</v>
      </c>
      <c r="F666" s="122">
        <f>F635</f>
        <v>42.821128451380567</v>
      </c>
    </row>
    <row r="667" spans="1:6" x14ac:dyDescent="0.35">
      <c r="A667" s="122" t="s">
        <v>511</v>
      </c>
      <c r="B667" s="122">
        <f>B666-B628</f>
        <v>6.8513805522208884</v>
      </c>
      <c r="C667" s="122">
        <f t="shared" ref="C667:F667" si="29">C666-C628</f>
        <v>18.270348139255709</v>
      </c>
      <c r="D667" s="122">
        <f t="shared" si="29"/>
        <v>23.266146458583449</v>
      </c>
      <c r="E667" s="122">
        <f t="shared" si="29"/>
        <v>23.908463385354146</v>
      </c>
      <c r="F667" s="122">
        <f t="shared" si="29"/>
        <v>24.978991596638668</v>
      </c>
    </row>
    <row r="668" spans="1:6" x14ac:dyDescent="0.35">
      <c r="A668" s="122" t="s">
        <v>525</v>
      </c>
      <c r="B668" s="122">
        <f>B642-B666</f>
        <v>2.3551620648259188</v>
      </c>
      <c r="C668" s="122">
        <f t="shared" ref="C668:F668" si="30">C642-C666</f>
        <v>6.2804321728691477</v>
      </c>
      <c r="D668" s="122">
        <f t="shared" si="30"/>
        <v>9.5633853541416514</v>
      </c>
      <c r="E668" s="122">
        <f t="shared" si="30"/>
        <v>12.132653061224488</v>
      </c>
      <c r="F668" s="122">
        <f t="shared" si="30"/>
        <v>16.414765906362547</v>
      </c>
    </row>
    <row r="670" spans="1:6" x14ac:dyDescent="0.35">
      <c r="A670" s="122" t="s">
        <v>519</v>
      </c>
      <c r="B670" s="122">
        <f>B636</f>
        <v>64.802641056422573</v>
      </c>
      <c r="C670" s="122">
        <f>C636</f>
        <v>56.238415366146477</v>
      </c>
      <c r="D670" s="122">
        <f>D636</f>
        <v>50.814405762304936</v>
      </c>
      <c r="E670" s="122">
        <f>E636</f>
        <v>47.816926770708292</v>
      </c>
      <c r="F670" s="122">
        <f>F636</f>
        <v>42.821128451380567</v>
      </c>
    </row>
    <row r="671" spans="1:6" x14ac:dyDescent="0.35">
      <c r="A671" s="122" t="s">
        <v>512</v>
      </c>
      <c r="B671" s="122">
        <f>B670-B629</f>
        <v>6.8513805522208884</v>
      </c>
      <c r="C671" s="122">
        <f t="shared" ref="C671:F671" si="31">C670-C629</f>
        <v>18.270348139255709</v>
      </c>
      <c r="D671" s="122">
        <f t="shared" si="31"/>
        <v>23.266146458583449</v>
      </c>
      <c r="E671" s="122">
        <f t="shared" si="31"/>
        <v>23.908463385354146</v>
      </c>
      <c r="F671" s="122">
        <f t="shared" si="31"/>
        <v>24.978991596638668</v>
      </c>
    </row>
    <row r="672" spans="1:6" x14ac:dyDescent="0.35">
      <c r="A672" s="122" t="s">
        <v>526</v>
      </c>
      <c r="B672" s="122">
        <f>B643-B670</f>
        <v>2.3551620648259188</v>
      </c>
      <c r="C672" s="122">
        <f t="shared" ref="C672:F672" si="32">C643-C670</f>
        <v>6.2804321728691477</v>
      </c>
      <c r="D672" s="122">
        <f t="shared" si="32"/>
        <v>9.5633853541416514</v>
      </c>
      <c r="E672" s="122">
        <f t="shared" si="32"/>
        <v>12.132653061224488</v>
      </c>
      <c r="F672" s="122">
        <f t="shared" si="32"/>
        <v>16.414765906362547</v>
      </c>
    </row>
    <row r="674" spans="1:6" x14ac:dyDescent="0.35">
      <c r="A674" s="122" t="s">
        <v>520</v>
      </c>
      <c r="B674" s="122">
        <f>B637</f>
        <v>29.049168379255899</v>
      </c>
      <c r="C674" s="122">
        <f>C637</f>
        <v>25.210071236622962</v>
      </c>
      <c r="D674" s="122">
        <f>D637</f>
        <v>22.778643046288771</v>
      </c>
      <c r="E674" s="122">
        <f>E637</f>
        <v>21.434959046367243</v>
      </c>
      <c r="F674" s="122">
        <f>F637</f>
        <v>19.1954857131647</v>
      </c>
    </row>
    <row r="675" spans="1:6" x14ac:dyDescent="0.35">
      <c r="A675" s="122" t="s">
        <v>513</v>
      </c>
      <c r="B675" s="122">
        <f>B674-B630</f>
        <v>3.0712777141063441</v>
      </c>
      <c r="C675" s="122">
        <f t="shared" ref="C675:F675" si="33">C674-C630</f>
        <v>8.1900739042835973</v>
      </c>
      <c r="D675" s="122">
        <f t="shared" si="33"/>
        <v>10.429547237486149</v>
      </c>
      <c r="E675" s="122">
        <f t="shared" si="33"/>
        <v>10.717479523183622</v>
      </c>
      <c r="F675" s="122">
        <f t="shared" si="33"/>
        <v>11.197366666012744</v>
      </c>
    </row>
    <row r="676" spans="1:6" x14ac:dyDescent="0.35">
      <c r="A676" s="122" t="s">
        <v>527</v>
      </c>
      <c r="B676" s="122">
        <f>B644-B674</f>
        <v>1.0557517142240584</v>
      </c>
      <c r="C676" s="122">
        <f t="shared" ref="C676:F676" si="34">C644-C674</f>
        <v>2.8153379045974951</v>
      </c>
      <c r="D676" s="122">
        <f t="shared" si="34"/>
        <v>4.2869918092734487</v>
      </c>
      <c r="E676" s="122">
        <f t="shared" si="34"/>
        <v>5.4387209520633313</v>
      </c>
      <c r="F676" s="122">
        <f t="shared" si="34"/>
        <v>7.3582695233797928</v>
      </c>
    </row>
  </sheetData>
  <mergeCells count="17">
    <mergeCell ref="DH4:FJ4"/>
    <mergeCell ref="B49:L49"/>
    <mergeCell ref="AF19:AN19"/>
    <mergeCell ref="P229:P240"/>
    <mergeCell ref="P241:P252"/>
    <mergeCell ref="A398:A452"/>
    <mergeCell ref="A453:A507"/>
    <mergeCell ref="A508:A562"/>
    <mergeCell ref="B4:BD4"/>
    <mergeCell ref="BE4:DG4"/>
    <mergeCell ref="P253:P264"/>
    <mergeCell ref="P302:P305"/>
    <mergeCell ref="P306:P309"/>
    <mergeCell ref="P310:P313"/>
    <mergeCell ref="BS296:BS298"/>
    <mergeCell ref="BS299:BS301"/>
    <mergeCell ref="BS302:BS304"/>
  </mergeCells>
  <pageMargins left="0.7" right="0.7" top="0.75" bottom="0.75" header="0.3" footer="0.3"/>
  <pageSetup paperSize="9" orientation="portrait" r:id="rId1"/>
  <drawing r:id="rId2"/>
  <tableParts count="3">
    <tablePart r:id="rId3"/>
    <tablePart r:id="rId4"/>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668B1-9741-4E7F-A2AD-F09AFC561265}">
  <dimension ref="A1:AF61"/>
  <sheetViews>
    <sheetView zoomScale="70" zoomScaleNormal="70" workbookViewId="0">
      <selection activeCell="S82" sqref="S82"/>
    </sheetView>
  </sheetViews>
  <sheetFormatPr defaultRowHeight="14.5" x14ac:dyDescent="0.35"/>
  <cols>
    <col min="3" max="3" width="9.54296875" bestFit="1" customWidth="1"/>
    <col min="4" max="4" width="13.54296875" bestFit="1" customWidth="1"/>
  </cols>
  <sheetData>
    <row r="1" spans="1:32" x14ac:dyDescent="0.35">
      <c r="A1" s="99" t="s">
        <v>230</v>
      </c>
      <c r="B1" s="99" t="s">
        <v>217</v>
      </c>
      <c r="C1" s="99" t="s">
        <v>218</v>
      </c>
      <c r="D1" s="99" t="s">
        <v>234</v>
      </c>
      <c r="E1" s="99">
        <v>2023</v>
      </c>
      <c r="F1" s="99">
        <v>2024</v>
      </c>
      <c r="G1" s="99">
        <v>2025</v>
      </c>
      <c r="H1" s="99">
        <v>2026</v>
      </c>
      <c r="I1" s="99">
        <v>2027</v>
      </c>
      <c r="J1" s="99">
        <v>2028</v>
      </c>
      <c r="K1" s="99">
        <v>2029</v>
      </c>
      <c r="L1" s="99">
        <v>2030</v>
      </c>
      <c r="M1" s="99">
        <v>2031</v>
      </c>
      <c r="N1" s="99">
        <v>2032</v>
      </c>
      <c r="O1" s="99">
        <v>2033</v>
      </c>
      <c r="P1" s="99">
        <v>2034</v>
      </c>
      <c r="Q1" s="99">
        <v>2035</v>
      </c>
      <c r="R1" s="99">
        <v>2036</v>
      </c>
      <c r="S1" s="99">
        <v>2037</v>
      </c>
      <c r="T1" s="99">
        <v>2038</v>
      </c>
      <c r="U1" s="99">
        <v>2039</v>
      </c>
      <c r="V1" s="99">
        <v>2040</v>
      </c>
      <c r="W1" s="99">
        <v>2041</v>
      </c>
      <c r="X1" s="99">
        <v>2042</v>
      </c>
      <c r="Y1" s="99">
        <v>2043</v>
      </c>
      <c r="Z1" s="99">
        <v>2044</v>
      </c>
      <c r="AA1" s="99">
        <v>2045</v>
      </c>
      <c r="AB1" s="99">
        <v>2046</v>
      </c>
      <c r="AC1" s="99">
        <v>2047</v>
      </c>
      <c r="AD1" s="99">
        <v>2048</v>
      </c>
      <c r="AE1" s="99">
        <v>2049</v>
      </c>
      <c r="AF1" s="99">
        <v>2050</v>
      </c>
    </row>
    <row r="2" spans="1:32" x14ac:dyDescent="0.35">
      <c r="A2">
        <v>1</v>
      </c>
      <c r="B2" t="s">
        <v>219</v>
      </c>
      <c r="C2" t="s">
        <v>11</v>
      </c>
      <c r="D2" t="s">
        <v>220</v>
      </c>
      <c r="E2" s="100" t="e">
        <f>#REF!</f>
        <v>#REF!</v>
      </c>
      <c r="F2" s="100" t="e">
        <f>#REF!</f>
        <v>#REF!</v>
      </c>
      <c r="G2" s="100" t="e">
        <f>#REF!</f>
        <v>#REF!</v>
      </c>
      <c r="H2" s="100" t="e">
        <f>#REF!</f>
        <v>#REF!</v>
      </c>
      <c r="I2" s="100" t="e">
        <f>#REF!</f>
        <v>#REF!</v>
      </c>
      <c r="J2" s="100" t="e">
        <f>#REF!</f>
        <v>#REF!</v>
      </c>
      <c r="K2" s="100" t="e">
        <f>#REF!</f>
        <v>#REF!</v>
      </c>
      <c r="L2" s="100" t="e">
        <f>#REF!</f>
        <v>#REF!</v>
      </c>
      <c r="M2" s="100" t="e">
        <f>#REF!</f>
        <v>#REF!</v>
      </c>
      <c r="N2" s="100" t="e">
        <f>#REF!</f>
        <v>#REF!</v>
      </c>
      <c r="O2" s="100" t="e">
        <f>#REF!</f>
        <v>#REF!</v>
      </c>
      <c r="P2" s="100" t="e">
        <f>#REF!</f>
        <v>#REF!</v>
      </c>
      <c r="Q2" s="100" t="e">
        <f>#REF!</f>
        <v>#REF!</v>
      </c>
      <c r="R2" s="100" t="e">
        <f>#REF!</f>
        <v>#REF!</v>
      </c>
      <c r="S2" s="100" t="e">
        <f>#REF!</f>
        <v>#REF!</v>
      </c>
      <c r="T2" s="100" t="e">
        <f>#REF!</f>
        <v>#REF!</v>
      </c>
      <c r="U2" s="100" t="e">
        <f>#REF!</f>
        <v>#REF!</v>
      </c>
      <c r="V2" s="100" t="e">
        <f>#REF!</f>
        <v>#REF!</v>
      </c>
      <c r="W2" s="100" t="e">
        <f>#REF!</f>
        <v>#REF!</v>
      </c>
      <c r="X2" s="100" t="e">
        <f>#REF!</f>
        <v>#REF!</v>
      </c>
      <c r="Y2" s="100" t="e">
        <f>#REF!</f>
        <v>#REF!</v>
      </c>
      <c r="Z2" s="100" t="e">
        <f>#REF!</f>
        <v>#REF!</v>
      </c>
      <c r="AA2" s="100" t="e">
        <f>#REF!</f>
        <v>#REF!</v>
      </c>
      <c r="AB2" s="100" t="e">
        <f>#REF!</f>
        <v>#REF!</v>
      </c>
      <c r="AC2" s="100" t="e">
        <f>#REF!</f>
        <v>#REF!</v>
      </c>
      <c r="AD2" s="100" t="e">
        <f>#REF!</f>
        <v>#REF!</v>
      </c>
      <c r="AE2" s="100" t="e">
        <f>#REF!</f>
        <v>#REF!</v>
      </c>
      <c r="AF2" s="100" t="e">
        <f>#REF!</f>
        <v>#REF!</v>
      </c>
    </row>
    <row r="3" spans="1:32" x14ac:dyDescent="0.35">
      <c r="A3">
        <v>2</v>
      </c>
      <c r="B3" t="s">
        <v>219</v>
      </c>
      <c r="C3" t="s">
        <v>11</v>
      </c>
      <c r="D3" t="s">
        <v>221</v>
      </c>
      <c r="E3" s="100" t="e">
        <f>#REF!</f>
        <v>#REF!</v>
      </c>
      <c r="F3" s="100" t="e">
        <f>#REF!</f>
        <v>#REF!</v>
      </c>
      <c r="G3" s="100" t="e">
        <f>#REF!</f>
        <v>#REF!</v>
      </c>
      <c r="H3" s="100" t="e">
        <f>#REF!</f>
        <v>#REF!</v>
      </c>
      <c r="I3" s="100" t="e">
        <f>#REF!</f>
        <v>#REF!</v>
      </c>
      <c r="J3" s="100" t="e">
        <f>#REF!</f>
        <v>#REF!</v>
      </c>
      <c r="K3" s="100" t="e">
        <f>#REF!</f>
        <v>#REF!</v>
      </c>
      <c r="L3" s="100" t="e">
        <f>#REF!</f>
        <v>#REF!</v>
      </c>
      <c r="M3" s="100" t="e">
        <f>#REF!</f>
        <v>#REF!</v>
      </c>
      <c r="N3" s="100" t="e">
        <f>#REF!</f>
        <v>#REF!</v>
      </c>
      <c r="O3" s="100" t="e">
        <f>#REF!</f>
        <v>#REF!</v>
      </c>
      <c r="P3" s="100" t="e">
        <f>#REF!</f>
        <v>#REF!</v>
      </c>
      <c r="Q3" s="100" t="e">
        <f>#REF!</f>
        <v>#REF!</v>
      </c>
      <c r="R3" s="100" t="e">
        <f>#REF!</f>
        <v>#REF!</v>
      </c>
      <c r="S3" s="100" t="e">
        <f>#REF!</f>
        <v>#REF!</v>
      </c>
      <c r="T3" s="100" t="e">
        <f>#REF!</f>
        <v>#REF!</v>
      </c>
      <c r="U3" s="100" t="e">
        <f>#REF!</f>
        <v>#REF!</v>
      </c>
      <c r="V3" s="100" t="e">
        <f>#REF!</f>
        <v>#REF!</v>
      </c>
      <c r="W3" s="100" t="e">
        <f>#REF!</f>
        <v>#REF!</v>
      </c>
      <c r="X3" s="100" t="e">
        <f>#REF!</f>
        <v>#REF!</v>
      </c>
      <c r="Y3" s="100" t="e">
        <f>#REF!</f>
        <v>#REF!</v>
      </c>
      <c r="Z3" s="100" t="e">
        <f>#REF!</f>
        <v>#REF!</v>
      </c>
      <c r="AA3" s="100" t="e">
        <f>#REF!</f>
        <v>#REF!</v>
      </c>
      <c r="AB3" s="100" t="e">
        <f>#REF!</f>
        <v>#REF!</v>
      </c>
      <c r="AC3" s="100" t="e">
        <f>#REF!</f>
        <v>#REF!</v>
      </c>
      <c r="AD3" s="100" t="e">
        <f>#REF!</f>
        <v>#REF!</v>
      </c>
      <c r="AE3" s="100" t="e">
        <f>#REF!</f>
        <v>#REF!</v>
      </c>
      <c r="AF3" s="100" t="e">
        <f>#REF!</f>
        <v>#REF!</v>
      </c>
    </row>
    <row r="4" spans="1:32" x14ac:dyDescent="0.35">
      <c r="A4">
        <v>3</v>
      </c>
      <c r="B4" t="s">
        <v>219</v>
      </c>
      <c r="C4" t="s">
        <v>11</v>
      </c>
      <c r="D4" t="s">
        <v>222</v>
      </c>
      <c r="E4" s="100" t="e">
        <f>#REF!</f>
        <v>#REF!</v>
      </c>
      <c r="F4" s="100" t="e">
        <f>#REF!</f>
        <v>#REF!</v>
      </c>
      <c r="G4" s="100" t="e">
        <f>#REF!</f>
        <v>#REF!</v>
      </c>
      <c r="H4" s="100" t="e">
        <f>#REF!</f>
        <v>#REF!</v>
      </c>
      <c r="I4" s="100" t="e">
        <f>#REF!</f>
        <v>#REF!</v>
      </c>
      <c r="J4" s="100" t="e">
        <f>#REF!</f>
        <v>#REF!</v>
      </c>
      <c r="K4" s="100" t="e">
        <f>#REF!</f>
        <v>#REF!</v>
      </c>
      <c r="L4" s="100" t="e">
        <f>#REF!</f>
        <v>#REF!</v>
      </c>
      <c r="M4" s="100" t="e">
        <f>#REF!</f>
        <v>#REF!</v>
      </c>
      <c r="N4" s="100" t="e">
        <f>#REF!</f>
        <v>#REF!</v>
      </c>
      <c r="O4" s="100" t="e">
        <f>#REF!</f>
        <v>#REF!</v>
      </c>
      <c r="P4" s="100" t="e">
        <f>#REF!</f>
        <v>#REF!</v>
      </c>
      <c r="Q4" s="100" t="e">
        <f>#REF!</f>
        <v>#REF!</v>
      </c>
      <c r="R4" s="100" t="e">
        <f>#REF!</f>
        <v>#REF!</v>
      </c>
      <c r="S4" s="100" t="e">
        <f>#REF!</f>
        <v>#REF!</v>
      </c>
      <c r="T4" s="100" t="e">
        <f>#REF!</f>
        <v>#REF!</v>
      </c>
      <c r="U4" s="100" t="e">
        <f>#REF!</f>
        <v>#REF!</v>
      </c>
      <c r="V4" s="100" t="e">
        <f>#REF!</f>
        <v>#REF!</v>
      </c>
      <c r="W4" s="100" t="e">
        <f>#REF!</f>
        <v>#REF!</v>
      </c>
      <c r="X4" s="100" t="e">
        <f>#REF!</f>
        <v>#REF!</v>
      </c>
      <c r="Y4" s="100" t="e">
        <f>#REF!</f>
        <v>#REF!</v>
      </c>
      <c r="Z4" s="100" t="e">
        <f>#REF!</f>
        <v>#REF!</v>
      </c>
      <c r="AA4" s="100" t="e">
        <f>#REF!</f>
        <v>#REF!</v>
      </c>
      <c r="AB4" s="100" t="e">
        <f>#REF!</f>
        <v>#REF!</v>
      </c>
      <c r="AC4" s="100" t="e">
        <f>#REF!</f>
        <v>#REF!</v>
      </c>
      <c r="AD4" s="100" t="e">
        <f>#REF!</f>
        <v>#REF!</v>
      </c>
      <c r="AE4" s="100" t="e">
        <f>#REF!</f>
        <v>#REF!</v>
      </c>
      <c r="AF4" s="100" t="e">
        <f>#REF!</f>
        <v>#REF!</v>
      </c>
    </row>
    <row r="5" spans="1:32" x14ac:dyDescent="0.35">
      <c r="A5">
        <v>4</v>
      </c>
      <c r="B5" t="s">
        <v>219</v>
      </c>
      <c r="C5" t="s">
        <v>11</v>
      </c>
      <c r="D5" t="s">
        <v>223</v>
      </c>
      <c r="E5" s="100" t="e">
        <f>#REF!</f>
        <v>#REF!</v>
      </c>
      <c r="F5" s="100" t="e">
        <f>#REF!</f>
        <v>#REF!</v>
      </c>
      <c r="G5" s="100" t="e">
        <f>#REF!</f>
        <v>#REF!</v>
      </c>
      <c r="H5" s="100" t="e">
        <f>#REF!</f>
        <v>#REF!</v>
      </c>
      <c r="I5" s="100" t="e">
        <f>#REF!</f>
        <v>#REF!</v>
      </c>
      <c r="J5" s="100" t="e">
        <f>#REF!</f>
        <v>#REF!</v>
      </c>
      <c r="K5" s="100" t="e">
        <f>#REF!</f>
        <v>#REF!</v>
      </c>
      <c r="L5" s="100" t="e">
        <f>#REF!</f>
        <v>#REF!</v>
      </c>
      <c r="M5" s="100" t="e">
        <f>#REF!</f>
        <v>#REF!</v>
      </c>
      <c r="N5" s="100" t="e">
        <f>#REF!</f>
        <v>#REF!</v>
      </c>
      <c r="O5" s="100" t="e">
        <f>#REF!</f>
        <v>#REF!</v>
      </c>
      <c r="P5" s="100" t="e">
        <f>#REF!</f>
        <v>#REF!</v>
      </c>
      <c r="Q5" s="100" t="e">
        <f>#REF!</f>
        <v>#REF!</v>
      </c>
      <c r="R5" s="100" t="e">
        <f>#REF!</f>
        <v>#REF!</v>
      </c>
      <c r="S5" s="100" t="e">
        <f>#REF!</f>
        <v>#REF!</v>
      </c>
      <c r="T5" s="100" t="e">
        <f>#REF!</f>
        <v>#REF!</v>
      </c>
      <c r="U5" s="100" t="e">
        <f>#REF!</f>
        <v>#REF!</v>
      </c>
      <c r="V5" s="100" t="e">
        <f>#REF!</f>
        <v>#REF!</v>
      </c>
      <c r="W5" s="100" t="e">
        <f>#REF!</f>
        <v>#REF!</v>
      </c>
      <c r="X5" s="100" t="e">
        <f>#REF!</f>
        <v>#REF!</v>
      </c>
      <c r="Y5" s="100" t="e">
        <f>#REF!</f>
        <v>#REF!</v>
      </c>
      <c r="Z5" s="100" t="e">
        <f>#REF!</f>
        <v>#REF!</v>
      </c>
      <c r="AA5" s="100" t="e">
        <f>#REF!</f>
        <v>#REF!</v>
      </c>
      <c r="AB5" s="100" t="e">
        <f>#REF!</f>
        <v>#REF!</v>
      </c>
      <c r="AC5" s="100" t="e">
        <f>#REF!</f>
        <v>#REF!</v>
      </c>
      <c r="AD5" s="100" t="e">
        <f>#REF!</f>
        <v>#REF!</v>
      </c>
      <c r="AE5" s="100" t="e">
        <f>#REF!</f>
        <v>#REF!</v>
      </c>
      <c r="AF5" s="100" t="e">
        <f>#REF!</f>
        <v>#REF!</v>
      </c>
    </row>
    <row r="6" spans="1:32" x14ac:dyDescent="0.35">
      <c r="A6">
        <v>5</v>
      </c>
      <c r="B6" t="s">
        <v>219</v>
      </c>
      <c r="C6" t="s">
        <v>11</v>
      </c>
      <c r="D6" t="s">
        <v>224</v>
      </c>
      <c r="E6" s="100" t="e">
        <f>#REF!</f>
        <v>#REF!</v>
      </c>
      <c r="F6" s="100" t="e">
        <f>#REF!</f>
        <v>#REF!</v>
      </c>
      <c r="G6" s="100" t="e">
        <f>#REF!</f>
        <v>#REF!</v>
      </c>
      <c r="H6" s="100" t="e">
        <f>#REF!</f>
        <v>#REF!</v>
      </c>
      <c r="I6" s="100" t="e">
        <f>#REF!</f>
        <v>#REF!</v>
      </c>
      <c r="J6" s="100" t="e">
        <f>#REF!</f>
        <v>#REF!</v>
      </c>
      <c r="K6" s="100" t="e">
        <f>#REF!</f>
        <v>#REF!</v>
      </c>
      <c r="L6" s="100" t="e">
        <f>#REF!</f>
        <v>#REF!</v>
      </c>
      <c r="M6" s="100" t="e">
        <f>#REF!</f>
        <v>#REF!</v>
      </c>
      <c r="N6" s="100" t="e">
        <f>#REF!</f>
        <v>#REF!</v>
      </c>
      <c r="O6" s="100" t="e">
        <f>#REF!</f>
        <v>#REF!</v>
      </c>
      <c r="P6" s="100" t="e">
        <f>#REF!</f>
        <v>#REF!</v>
      </c>
      <c r="Q6" s="100" t="e">
        <f>#REF!</f>
        <v>#REF!</v>
      </c>
      <c r="R6" s="100" t="e">
        <f>#REF!</f>
        <v>#REF!</v>
      </c>
      <c r="S6" s="100" t="e">
        <f>#REF!</f>
        <v>#REF!</v>
      </c>
      <c r="T6" s="100" t="e">
        <f>#REF!</f>
        <v>#REF!</v>
      </c>
      <c r="U6" s="100" t="e">
        <f>#REF!</f>
        <v>#REF!</v>
      </c>
      <c r="V6" s="100" t="e">
        <f>#REF!</f>
        <v>#REF!</v>
      </c>
      <c r="W6" s="100" t="e">
        <f>#REF!</f>
        <v>#REF!</v>
      </c>
      <c r="X6" s="100" t="e">
        <f>#REF!</f>
        <v>#REF!</v>
      </c>
      <c r="Y6" s="100" t="e">
        <f>#REF!</f>
        <v>#REF!</v>
      </c>
      <c r="Z6" s="100" t="e">
        <f>#REF!</f>
        <v>#REF!</v>
      </c>
      <c r="AA6" s="100" t="e">
        <f>#REF!</f>
        <v>#REF!</v>
      </c>
      <c r="AB6" s="100" t="e">
        <f>#REF!</f>
        <v>#REF!</v>
      </c>
      <c r="AC6" s="100" t="e">
        <f>#REF!</f>
        <v>#REF!</v>
      </c>
      <c r="AD6" s="100" t="e">
        <f>#REF!</f>
        <v>#REF!</v>
      </c>
      <c r="AE6" s="100" t="e">
        <f>#REF!</f>
        <v>#REF!</v>
      </c>
      <c r="AF6" s="100" t="e">
        <f>#REF!</f>
        <v>#REF!</v>
      </c>
    </row>
    <row r="7" spans="1:32" x14ac:dyDescent="0.35">
      <c r="A7">
        <v>6</v>
      </c>
      <c r="B7" t="s">
        <v>219</v>
      </c>
      <c r="C7" t="s">
        <v>86</v>
      </c>
      <c r="D7" t="s">
        <v>220</v>
      </c>
      <c r="E7" s="100" t="e">
        <f>#REF!</f>
        <v>#REF!</v>
      </c>
      <c r="F7" s="100" t="e">
        <f>#REF!</f>
        <v>#REF!</v>
      </c>
      <c r="G7" s="100" t="e">
        <f>#REF!</f>
        <v>#REF!</v>
      </c>
      <c r="H7" s="100" t="e">
        <f>#REF!</f>
        <v>#REF!</v>
      </c>
      <c r="I7" s="100" t="e">
        <f>#REF!</f>
        <v>#REF!</v>
      </c>
      <c r="J7" s="100" t="e">
        <f>#REF!</f>
        <v>#REF!</v>
      </c>
      <c r="K7" s="100" t="e">
        <f>#REF!</f>
        <v>#REF!</v>
      </c>
      <c r="L7" s="100" t="e">
        <f>#REF!</f>
        <v>#REF!</v>
      </c>
      <c r="M7" s="100" t="e">
        <f>#REF!</f>
        <v>#REF!</v>
      </c>
      <c r="N7" s="100" t="e">
        <f>#REF!</f>
        <v>#REF!</v>
      </c>
      <c r="O7" s="100" t="e">
        <f>#REF!</f>
        <v>#REF!</v>
      </c>
      <c r="P7" s="100" t="e">
        <f>#REF!</f>
        <v>#REF!</v>
      </c>
      <c r="Q7" s="100" t="e">
        <f>#REF!</f>
        <v>#REF!</v>
      </c>
      <c r="R7" s="100" t="e">
        <f>#REF!</f>
        <v>#REF!</v>
      </c>
      <c r="S7" s="100" t="e">
        <f>#REF!</f>
        <v>#REF!</v>
      </c>
      <c r="T7" s="100" t="e">
        <f>#REF!</f>
        <v>#REF!</v>
      </c>
      <c r="U7" s="100" t="e">
        <f>#REF!</f>
        <v>#REF!</v>
      </c>
      <c r="V7" s="100" t="e">
        <f>#REF!</f>
        <v>#REF!</v>
      </c>
      <c r="W7" s="100" t="e">
        <f>#REF!</f>
        <v>#REF!</v>
      </c>
      <c r="X7" s="100" t="e">
        <f>#REF!</f>
        <v>#REF!</v>
      </c>
      <c r="Y7" s="100" t="e">
        <f>#REF!</f>
        <v>#REF!</v>
      </c>
      <c r="Z7" s="100" t="e">
        <f>#REF!</f>
        <v>#REF!</v>
      </c>
      <c r="AA7" s="100" t="e">
        <f>#REF!</f>
        <v>#REF!</v>
      </c>
      <c r="AB7" s="100" t="e">
        <f>#REF!</f>
        <v>#REF!</v>
      </c>
      <c r="AC7" s="100" t="e">
        <f>#REF!</f>
        <v>#REF!</v>
      </c>
      <c r="AD7" s="100" t="e">
        <f>#REF!</f>
        <v>#REF!</v>
      </c>
      <c r="AE7" s="100" t="e">
        <f>#REF!</f>
        <v>#REF!</v>
      </c>
      <c r="AF7" s="100" t="e">
        <f>#REF!</f>
        <v>#REF!</v>
      </c>
    </row>
    <row r="8" spans="1:32" x14ac:dyDescent="0.35">
      <c r="A8">
        <v>7</v>
      </c>
      <c r="B8" t="s">
        <v>219</v>
      </c>
      <c r="C8" t="s">
        <v>86</v>
      </c>
      <c r="D8" t="s">
        <v>221</v>
      </c>
      <c r="E8" s="100" t="e">
        <f>#REF!</f>
        <v>#REF!</v>
      </c>
      <c r="F8" s="100" t="e">
        <f>#REF!</f>
        <v>#REF!</v>
      </c>
      <c r="G8" s="100" t="e">
        <f>#REF!</f>
        <v>#REF!</v>
      </c>
      <c r="H8" s="100" t="e">
        <f>#REF!</f>
        <v>#REF!</v>
      </c>
      <c r="I8" s="100" t="e">
        <f>#REF!</f>
        <v>#REF!</v>
      </c>
      <c r="J8" s="100" t="e">
        <f>#REF!</f>
        <v>#REF!</v>
      </c>
      <c r="K8" s="100" t="e">
        <f>#REF!</f>
        <v>#REF!</v>
      </c>
      <c r="L8" s="100" t="e">
        <f>#REF!</f>
        <v>#REF!</v>
      </c>
      <c r="M8" s="100" t="e">
        <f>#REF!</f>
        <v>#REF!</v>
      </c>
      <c r="N8" s="100" t="e">
        <f>#REF!</f>
        <v>#REF!</v>
      </c>
      <c r="O8" s="100" t="e">
        <f>#REF!</f>
        <v>#REF!</v>
      </c>
      <c r="P8" s="100" t="e">
        <f>#REF!</f>
        <v>#REF!</v>
      </c>
      <c r="Q8" s="100" t="e">
        <f>#REF!</f>
        <v>#REF!</v>
      </c>
      <c r="R8" s="100" t="e">
        <f>#REF!</f>
        <v>#REF!</v>
      </c>
      <c r="S8" s="100" t="e">
        <f>#REF!</f>
        <v>#REF!</v>
      </c>
      <c r="T8" s="100" t="e">
        <f>#REF!</f>
        <v>#REF!</v>
      </c>
      <c r="U8" s="100" t="e">
        <f>#REF!</f>
        <v>#REF!</v>
      </c>
      <c r="V8" s="100" t="e">
        <f>#REF!</f>
        <v>#REF!</v>
      </c>
      <c r="W8" s="100" t="e">
        <f>#REF!</f>
        <v>#REF!</v>
      </c>
      <c r="X8" s="100" t="e">
        <f>#REF!</f>
        <v>#REF!</v>
      </c>
      <c r="Y8" s="100" t="e">
        <f>#REF!</f>
        <v>#REF!</v>
      </c>
      <c r="Z8" s="100" t="e">
        <f>#REF!</f>
        <v>#REF!</v>
      </c>
      <c r="AA8" s="100" t="e">
        <f>#REF!</f>
        <v>#REF!</v>
      </c>
      <c r="AB8" s="100" t="e">
        <f>#REF!</f>
        <v>#REF!</v>
      </c>
      <c r="AC8" s="100" t="e">
        <f>#REF!</f>
        <v>#REF!</v>
      </c>
      <c r="AD8" s="100" t="e">
        <f>#REF!</f>
        <v>#REF!</v>
      </c>
      <c r="AE8" s="100" t="e">
        <f>#REF!</f>
        <v>#REF!</v>
      </c>
      <c r="AF8" s="100" t="e">
        <f>#REF!</f>
        <v>#REF!</v>
      </c>
    </row>
    <row r="9" spans="1:32" x14ac:dyDescent="0.35">
      <c r="A9">
        <v>8</v>
      </c>
      <c r="B9" t="s">
        <v>219</v>
      </c>
      <c r="C9" t="s">
        <v>86</v>
      </c>
      <c r="D9" t="s">
        <v>222</v>
      </c>
      <c r="E9" s="100" t="e">
        <f>#REF!</f>
        <v>#REF!</v>
      </c>
      <c r="F9" s="100" t="e">
        <f>#REF!</f>
        <v>#REF!</v>
      </c>
      <c r="G9" s="100" t="e">
        <f>#REF!</f>
        <v>#REF!</v>
      </c>
      <c r="H9" s="100" t="e">
        <f>#REF!</f>
        <v>#REF!</v>
      </c>
      <c r="I9" s="100" t="e">
        <f>#REF!</f>
        <v>#REF!</v>
      </c>
      <c r="J9" s="100" t="e">
        <f>#REF!</f>
        <v>#REF!</v>
      </c>
      <c r="K9" s="100" t="e">
        <f>#REF!</f>
        <v>#REF!</v>
      </c>
      <c r="L9" s="100" t="e">
        <f>#REF!</f>
        <v>#REF!</v>
      </c>
      <c r="M9" s="100" t="e">
        <f>#REF!</f>
        <v>#REF!</v>
      </c>
      <c r="N9" s="100" t="e">
        <f>#REF!</f>
        <v>#REF!</v>
      </c>
      <c r="O9" s="100" t="e">
        <f>#REF!</f>
        <v>#REF!</v>
      </c>
      <c r="P9" s="100" t="e">
        <f>#REF!</f>
        <v>#REF!</v>
      </c>
      <c r="Q9" s="100" t="e">
        <f>#REF!</f>
        <v>#REF!</v>
      </c>
      <c r="R9" s="100" t="e">
        <f>#REF!</f>
        <v>#REF!</v>
      </c>
      <c r="S9" s="100" t="e">
        <f>#REF!</f>
        <v>#REF!</v>
      </c>
      <c r="T9" s="100" t="e">
        <f>#REF!</f>
        <v>#REF!</v>
      </c>
      <c r="U9" s="100" t="e">
        <f>#REF!</f>
        <v>#REF!</v>
      </c>
      <c r="V9" s="100" t="e">
        <f>#REF!</f>
        <v>#REF!</v>
      </c>
      <c r="W9" s="100" t="e">
        <f>#REF!</f>
        <v>#REF!</v>
      </c>
      <c r="X9" s="100" t="e">
        <f>#REF!</f>
        <v>#REF!</v>
      </c>
      <c r="Y9" s="100" t="e">
        <f>#REF!</f>
        <v>#REF!</v>
      </c>
      <c r="Z9" s="100" t="e">
        <f>#REF!</f>
        <v>#REF!</v>
      </c>
      <c r="AA9" s="100" t="e">
        <f>#REF!</f>
        <v>#REF!</v>
      </c>
      <c r="AB9" s="100" t="e">
        <f>#REF!</f>
        <v>#REF!</v>
      </c>
      <c r="AC9" s="100" t="e">
        <f>#REF!</f>
        <v>#REF!</v>
      </c>
      <c r="AD9" s="100" t="e">
        <f>#REF!</f>
        <v>#REF!</v>
      </c>
      <c r="AE9" s="100" t="e">
        <f>#REF!</f>
        <v>#REF!</v>
      </c>
      <c r="AF9" s="100" t="e">
        <f>#REF!</f>
        <v>#REF!</v>
      </c>
    </row>
    <row r="10" spans="1:32" x14ac:dyDescent="0.35">
      <c r="A10">
        <v>9</v>
      </c>
      <c r="B10" t="s">
        <v>219</v>
      </c>
      <c r="C10" t="s">
        <v>86</v>
      </c>
      <c r="D10" t="s">
        <v>223</v>
      </c>
      <c r="E10" s="100" t="e">
        <f>#REF!</f>
        <v>#REF!</v>
      </c>
      <c r="F10" s="100" t="e">
        <f>#REF!</f>
        <v>#REF!</v>
      </c>
      <c r="G10" s="100" t="e">
        <f>#REF!</f>
        <v>#REF!</v>
      </c>
      <c r="H10" s="100" t="e">
        <f>#REF!</f>
        <v>#REF!</v>
      </c>
      <c r="I10" s="100" t="e">
        <f>#REF!</f>
        <v>#REF!</v>
      </c>
      <c r="J10" s="100" t="e">
        <f>#REF!</f>
        <v>#REF!</v>
      </c>
      <c r="K10" s="100" t="e">
        <f>#REF!</f>
        <v>#REF!</v>
      </c>
      <c r="L10" s="100" t="e">
        <f>#REF!</f>
        <v>#REF!</v>
      </c>
      <c r="M10" s="100" t="e">
        <f>#REF!</f>
        <v>#REF!</v>
      </c>
      <c r="N10" s="100" t="e">
        <f>#REF!</f>
        <v>#REF!</v>
      </c>
      <c r="O10" s="100" t="e">
        <f>#REF!</f>
        <v>#REF!</v>
      </c>
      <c r="P10" s="100" t="e">
        <f>#REF!</f>
        <v>#REF!</v>
      </c>
      <c r="Q10" s="100" t="e">
        <f>#REF!</f>
        <v>#REF!</v>
      </c>
      <c r="R10" s="100" t="e">
        <f>#REF!</f>
        <v>#REF!</v>
      </c>
      <c r="S10" s="100" t="e">
        <f>#REF!</f>
        <v>#REF!</v>
      </c>
      <c r="T10" s="100" t="e">
        <f>#REF!</f>
        <v>#REF!</v>
      </c>
      <c r="U10" s="100" t="e">
        <f>#REF!</f>
        <v>#REF!</v>
      </c>
      <c r="V10" s="100" t="e">
        <f>#REF!</f>
        <v>#REF!</v>
      </c>
      <c r="W10" s="100" t="e">
        <f>#REF!</f>
        <v>#REF!</v>
      </c>
      <c r="X10" s="100" t="e">
        <f>#REF!</f>
        <v>#REF!</v>
      </c>
      <c r="Y10" s="100" t="e">
        <f>#REF!</f>
        <v>#REF!</v>
      </c>
      <c r="Z10" s="100" t="e">
        <f>#REF!</f>
        <v>#REF!</v>
      </c>
      <c r="AA10" s="100" t="e">
        <f>#REF!</f>
        <v>#REF!</v>
      </c>
      <c r="AB10" s="100" t="e">
        <f>#REF!</f>
        <v>#REF!</v>
      </c>
      <c r="AC10" s="100" t="e">
        <f>#REF!</f>
        <v>#REF!</v>
      </c>
      <c r="AD10" s="100" t="e">
        <f>#REF!</f>
        <v>#REF!</v>
      </c>
      <c r="AE10" s="100" t="e">
        <f>#REF!</f>
        <v>#REF!</v>
      </c>
      <c r="AF10" s="100" t="e">
        <f>#REF!</f>
        <v>#REF!</v>
      </c>
    </row>
    <row r="11" spans="1:32" x14ac:dyDescent="0.35">
      <c r="A11">
        <v>10</v>
      </c>
      <c r="B11" t="s">
        <v>219</v>
      </c>
      <c r="C11" t="s">
        <v>86</v>
      </c>
      <c r="D11" t="s">
        <v>224</v>
      </c>
      <c r="E11" s="100" t="e">
        <f>#REF!</f>
        <v>#REF!</v>
      </c>
      <c r="F11" s="100" t="e">
        <f>#REF!</f>
        <v>#REF!</v>
      </c>
      <c r="G11" s="100" t="e">
        <f>#REF!</f>
        <v>#REF!</v>
      </c>
      <c r="H11" s="100" t="e">
        <f>#REF!</f>
        <v>#REF!</v>
      </c>
      <c r="I11" s="100" t="e">
        <f>#REF!</f>
        <v>#REF!</v>
      </c>
      <c r="J11" s="100" t="e">
        <f>#REF!</f>
        <v>#REF!</v>
      </c>
      <c r="K11" s="100" t="e">
        <f>#REF!</f>
        <v>#REF!</v>
      </c>
      <c r="L11" s="100" t="e">
        <f>#REF!</f>
        <v>#REF!</v>
      </c>
      <c r="M11" s="100" t="e">
        <f>#REF!</f>
        <v>#REF!</v>
      </c>
      <c r="N11" s="100" t="e">
        <f>#REF!</f>
        <v>#REF!</v>
      </c>
      <c r="O11" s="100" t="e">
        <f>#REF!</f>
        <v>#REF!</v>
      </c>
      <c r="P11" s="100" t="e">
        <f>#REF!</f>
        <v>#REF!</v>
      </c>
      <c r="Q11" s="100" t="e">
        <f>#REF!</f>
        <v>#REF!</v>
      </c>
      <c r="R11" s="100" t="e">
        <f>#REF!</f>
        <v>#REF!</v>
      </c>
      <c r="S11" s="100" t="e">
        <f>#REF!</f>
        <v>#REF!</v>
      </c>
      <c r="T11" s="100" t="e">
        <f>#REF!</f>
        <v>#REF!</v>
      </c>
      <c r="U11" s="100" t="e">
        <f>#REF!</f>
        <v>#REF!</v>
      </c>
      <c r="V11" s="100" t="e">
        <f>#REF!</f>
        <v>#REF!</v>
      </c>
      <c r="W11" s="100" t="e">
        <f>#REF!</f>
        <v>#REF!</v>
      </c>
      <c r="X11" s="100" t="e">
        <f>#REF!</f>
        <v>#REF!</v>
      </c>
      <c r="Y11" s="100" t="e">
        <f>#REF!</f>
        <v>#REF!</v>
      </c>
      <c r="Z11" s="100" t="e">
        <f>#REF!</f>
        <v>#REF!</v>
      </c>
      <c r="AA11" s="100" t="e">
        <f>#REF!</f>
        <v>#REF!</v>
      </c>
      <c r="AB11" s="100" t="e">
        <f>#REF!</f>
        <v>#REF!</v>
      </c>
      <c r="AC11" s="100" t="e">
        <f>#REF!</f>
        <v>#REF!</v>
      </c>
      <c r="AD11" s="100" t="e">
        <f>#REF!</f>
        <v>#REF!</v>
      </c>
      <c r="AE11" s="100" t="e">
        <f>#REF!</f>
        <v>#REF!</v>
      </c>
      <c r="AF11" s="100" t="e">
        <f>#REF!</f>
        <v>#REF!</v>
      </c>
    </row>
    <row r="12" spans="1:32" x14ac:dyDescent="0.35">
      <c r="A12">
        <v>11</v>
      </c>
      <c r="B12" t="s">
        <v>219</v>
      </c>
      <c r="C12" t="s">
        <v>102</v>
      </c>
      <c r="D12" t="s">
        <v>220</v>
      </c>
      <c r="E12" s="100" t="e">
        <f>#REF!</f>
        <v>#REF!</v>
      </c>
      <c r="F12" s="100" t="e">
        <f>#REF!</f>
        <v>#REF!</v>
      </c>
      <c r="G12" s="100" t="e">
        <f>#REF!</f>
        <v>#REF!</v>
      </c>
      <c r="H12" s="100" t="e">
        <f>#REF!</f>
        <v>#REF!</v>
      </c>
      <c r="I12" s="100" t="e">
        <f>#REF!</f>
        <v>#REF!</v>
      </c>
      <c r="J12" s="100" t="e">
        <f>#REF!</f>
        <v>#REF!</v>
      </c>
      <c r="K12" s="100" t="e">
        <f>#REF!</f>
        <v>#REF!</v>
      </c>
      <c r="L12" s="100" t="e">
        <f>#REF!</f>
        <v>#REF!</v>
      </c>
      <c r="M12" s="100" t="e">
        <f>#REF!</f>
        <v>#REF!</v>
      </c>
      <c r="N12" s="100" t="e">
        <f>#REF!</f>
        <v>#REF!</v>
      </c>
      <c r="O12" s="100" t="e">
        <f>#REF!</f>
        <v>#REF!</v>
      </c>
      <c r="P12" s="100" t="e">
        <f>#REF!</f>
        <v>#REF!</v>
      </c>
      <c r="Q12" s="100" t="e">
        <f>#REF!</f>
        <v>#REF!</v>
      </c>
      <c r="R12" s="100" t="e">
        <f>#REF!</f>
        <v>#REF!</v>
      </c>
      <c r="S12" s="100" t="e">
        <f>#REF!</f>
        <v>#REF!</v>
      </c>
      <c r="T12" s="100" t="e">
        <f>#REF!</f>
        <v>#REF!</v>
      </c>
      <c r="U12" s="100" t="e">
        <f>#REF!</f>
        <v>#REF!</v>
      </c>
      <c r="V12" s="100" t="e">
        <f>#REF!</f>
        <v>#REF!</v>
      </c>
      <c r="W12" s="100" t="e">
        <f>#REF!</f>
        <v>#REF!</v>
      </c>
      <c r="X12" s="100" t="e">
        <f>#REF!</f>
        <v>#REF!</v>
      </c>
      <c r="Y12" s="100" t="e">
        <f>#REF!</f>
        <v>#REF!</v>
      </c>
      <c r="Z12" s="100" t="e">
        <f>#REF!</f>
        <v>#REF!</v>
      </c>
      <c r="AA12" s="100" t="e">
        <f>#REF!</f>
        <v>#REF!</v>
      </c>
      <c r="AB12" s="100" t="e">
        <f>#REF!</f>
        <v>#REF!</v>
      </c>
      <c r="AC12" s="100" t="e">
        <f>#REF!</f>
        <v>#REF!</v>
      </c>
      <c r="AD12" s="100" t="e">
        <f>#REF!</f>
        <v>#REF!</v>
      </c>
      <c r="AE12" s="100" t="e">
        <f>#REF!</f>
        <v>#REF!</v>
      </c>
      <c r="AF12" s="100" t="e">
        <f>#REF!</f>
        <v>#REF!</v>
      </c>
    </row>
    <row r="13" spans="1:32" x14ac:dyDescent="0.35">
      <c r="A13">
        <v>12</v>
      </c>
      <c r="B13" t="s">
        <v>219</v>
      </c>
      <c r="C13" t="s">
        <v>102</v>
      </c>
      <c r="D13" t="s">
        <v>221</v>
      </c>
      <c r="E13" s="100" t="e">
        <f>#REF!</f>
        <v>#REF!</v>
      </c>
      <c r="F13" s="100" t="e">
        <f>#REF!</f>
        <v>#REF!</v>
      </c>
      <c r="G13" s="100" t="e">
        <f>#REF!</f>
        <v>#REF!</v>
      </c>
      <c r="H13" s="100" t="e">
        <f>#REF!</f>
        <v>#REF!</v>
      </c>
      <c r="I13" s="100" t="e">
        <f>#REF!</f>
        <v>#REF!</v>
      </c>
      <c r="J13" s="100" t="e">
        <f>#REF!</f>
        <v>#REF!</v>
      </c>
      <c r="K13" s="100" t="e">
        <f>#REF!</f>
        <v>#REF!</v>
      </c>
      <c r="L13" s="100" t="e">
        <f>#REF!</f>
        <v>#REF!</v>
      </c>
      <c r="M13" s="100" t="e">
        <f>#REF!</f>
        <v>#REF!</v>
      </c>
      <c r="N13" s="100" t="e">
        <f>#REF!</f>
        <v>#REF!</v>
      </c>
      <c r="O13" s="100" t="e">
        <f>#REF!</f>
        <v>#REF!</v>
      </c>
      <c r="P13" s="100" t="e">
        <f>#REF!</f>
        <v>#REF!</v>
      </c>
      <c r="Q13" s="100" t="e">
        <f>#REF!</f>
        <v>#REF!</v>
      </c>
      <c r="R13" s="100" t="e">
        <f>#REF!</f>
        <v>#REF!</v>
      </c>
      <c r="S13" s="100" t="e">
        <f>#REF!</f>
        <v>#REF!</v>
      </c>
      <c r="T13" s="100" t="e">
        <f>#REF!</f>
        <v>#REF!</v>
      </c>
      <c r="U13" s="100" t="e">
        <f>#REF!</f>
        <v>#REF!</v>
      </c>
      <c r="V13" s="100" t="e">
        <f>#REF!</f>
        <v>#REF!</v>
      </c>
      <c r="W13" s="100" t="e">
        <f>#REF!</f>
        <v>#REF!</v>
      </c>
      <c r="X13" s="100" t="e">
        <f>#REF!</f>
        <v>#REF!</v>
      </c>
      <c r="Y13" s="100" t="e">
        <f>#REF!</f>
        <v>#REF!</v>
      </c>
      <c r="Z13" s="100" t="e">
        <f>#REF!</f>
        <v>#REF!</v>
      </c>
      <c r="AA13" s="100" t="e">
        <f>#REF!</f>
        <v>#REF!</v>
      </c>
      <c r="AB13" s="100" t="e">
        <f>#REF!</f>
        <v>#REF!</v>
      </c>
      <c r="AC13" s="100" t="e">
        <f>#REF!</f>
        <v>#REF!</v>
      </c>
      <c r="AD13" s="100" t="e">
        <f>#REF!</f>
        <v>#REF!</v>
      </c>
      <c r="AE13" s="100" t="e">
        <f>#REF!</f>
        <v>#REF!</v>
      </c>
      <c r="AF13" s="100" t="e">
        <f>#REF!</f>
        <v>#REF!</v>
      </c>
    </row>
    <row r="14" spans="1:32" x14ac:dyDescent="0.35">
      <c r="A14">
        <v>13</v>
      </c>
      <c r="B14" t="s">
        <v>219</v>
      </c>
      <c r="C14" t="s">
        <v>102</v>
      </c>
      <c r="D14" t="s">
        <v>222</v>
      </c>
      <c r="E14" s="100" t="e">
        <f>#REF!</f>
        <v>#REF!</v>
      </c>
      <c r="F14" s="100" t="e">
        <f>#REF!</f>
        <v>#REF!</v>
      </c>
      <c r="G14" s="100" t="e">
        <f>#REF!</f>
        <v>#REF!</v>
      </c>
      <c r="H14" s="100" t="e">
        <f>#REF!</f>
        <v>#REF!</v>
      </c>
      <c r="I14" s="100" t="e">
        <f>#REF!</f>
        <v>#REF!</v>
      </c>
      <c r="J14" s="100" t="e">
        <f>#REF!</f>
        <v>#REF!</v>
      </c>
      <c r="K14" s="100" t="e">
        <f>#REF!</f>
        <v>#REF!</v>
      </c>
      <c r="L14" s="100" t="e">
        <f>#REF!</f>
        <v>#REF!</v>
      </c>
      <c r="M14" s="100" t="e">
        <f>#REF!</f>
        <v>#REF!</v>
      </c>
      <c r="N14" s="100" t="e">
        <f>#REF!</f>
        <v>#REF!</v>
      </c>
      <c r="O14" s="100" t="e">
        <f>#REF!</f>
        <v>#REF!</v>
      </c>
      <c r="P14" s="100" t="e">
        <f>#REF!</f>
        <v>#REF!</v>
      </c>
      <c r="Q14" s="100" t="e">
        <f>#REF!</f>
        <v>#REF!</v>
      </c>
      <c r="R14" s="100" t="e">
        <f>#REF!</f>
        <v>#REF!</v>
      </c>
      <c r="S14" s="100" t="e">
        <f>#REF!</f>
        <v>#REF!</v>
      </c>
      <c r="T14" s="100" t="e">
        <f>#REF!</f>
        <v>#REF!</v>
      </c>
      <c r="U14" s="100" t="e">
        <f>#REF!</f>
        <v>#REF!</v>
      </c>
      <c r="V14" s="100" t="e">
        <f>#REF!</f>
        <v>#REF!</v>
      </c>
      <c r="W14" s="100" t="e">
        <f>#REF!</f>
        <v>#REF!</v>
      </c>
      <c r="X14" s="100" t="e">
        <f>#REF!</f>
        <v>#REF!</v>
      </c>
      <c r="Y14" s="100" t="e">
        <f>#REF!</f>
        <v>#REF!</v>
      </c>
      <c r="Z14" s="100" t="e">
        <f>#REF!</f>
        <v>#REF!</v>
      </c>
      <c r="AA14" s="100" t="e">
        <f>#REF!</f>
        <v>#REF!</v>
      </c>
      <c r="AB14" s="100" t="e">
        <f>#REF!</f>
        <v>#REF!</v>
      </c>
      <c r="AC14" s="100" t="e">
        <f>#REF!</f>
        <v>#REF!</v>
      </c>
      <c r="AD14" s="100" t="e">
        <f>#REF!</f>
        <v>#REF!</v>
      </c>
      <c r="AE14" s="100" t="e">
        <f>#REF!</f>
        <v>#REF!</v>
      </c>
      <c r="AF14" s="100" t="e">
        <f>#REF!</f>
        <v>#REF!</v>
      </c>
    </row>
    <row r="15" spans="1:32" x14ac:dyDescent="0.35">
      <c r="A15">
        <v>14</v>
      </c>
      <c r="B15" t="s">
        <v>219</v>
      </c>
      <c r="C15" t="s">
        <v>102</v>
      </c>
      <c r="D15" t="s">
        <v>223</v>
      </c>
      <c r="E15" s="100" t="e">
        <f>#REF!</f>
        <v>#REF!</v>
      </c>
      <c r="F15" s="100" t="e">
        <f>#REF!</f>
        <v>#REF!</v>
      </c>
      <c r="G15" s="100" t="e">
        <f>#REF!</f>
        <v>#REF!</v>
      </c>
      <c r="H15" s="100" t="e">
        <f>#REF!</f>
        <v>#REF!</v>
      </c>
      <c r="I15" s="100" t="e">
        <f>#REF!</f>
        <v>#REF!</v>
      </c>
      <c r="J15" s="100" t="e">
        <f>#REF!</f>
        <v>#REF!</v>
      </c>
      <c r="K15" s="100" t="e">
        <f>#REF!</f>
        <v>#REF!</v>
      </c>
      <c r="L15" s="100" t="e">
        <f>#REF!</f>
        <v>#REF!</v>
      </c>
      <c r="M15" s="100" t="e">
        <f>#REF!</f>
        <v>#REF!</v>
      </c>
      <c r="N15" s="100" t="e">
        <f>#REF!</f>
        <v>#REF!</v>
      </c>
      <c r="O15" s="100" t="e">
        <f>#REF!</f>
        <v>#REF!</v>
      </c>
      <c r="P15" s="100" t="e">
        <f>#REF!</f>
        <v>#REF!</v>
      </c>
      <c r="Q15" s="100" t="e">
        <f>#REF!</f>
        <v>#REF!</v>
      </c>
      <c r="R15" s="100" t="e">
        <f>#REF!</f>
        <v>#REF!</v>
      </c>
      <c r="S15" s="100" t="e">
        <f>#REF!</f>
        <v>#REF!</v>
      </c>
      <c r="T15" s="100" t="e">
        <f>#REF!</f>
        <v>#REF!</v>
      </c>
      <c r="U15" s="100" t="e">
        <f>#REF!</f>
        <v>#REF!</v>
      </c>
      <c r="V15" s="100" t="e">
        <f>#REF!</f>
        <v>#REF!</v>
      </c>
      <c r="W15" s="100" t="e">
        <f>#REF!</f>
        <v>#REF!</v>
      </c>
      <c r="X15" s="100" t="e">
        <f>#REF!</f>
        <v>#REF!</v>
      </c>
      <c r="Y15" s="100" t="e">
        <f>#REF!</f>
        <v>#REF!</v>
      </c>
      <c r="Z15" s="100" t="e">
        <f>#REF!</f>
        <v>#REF!</v>
      </c>
      <c r="AA15" s="100" t="e">
        <f>#REF!</f>
        <v>#REF!</v>
      </c>
      <c r="AB15" s="100" t="e">
        <f>#REF!</f>
        <v>#REF!</v>
      </c>
      <c r="AC15" s="100" t="e">
        <f>#REF!</f>
        <v>#REF!</v>
      </c>
      <c r="AD15" s="100" t="e">
        <f>#REF!</f>
        <v>#REF!</v>
      </c>
      <c r="AE15" s="100" t="e">
        <f>#REF!</f>
        <v>#REF!</v>
      </c>
      <c r="AF15" s="100" t="e">
        <f>#REF!</f>
        <v>#REF!</v>
      </c>
    </row>
    <row r="16" spans="1:32" x14ac:dyDescent="0.35">
      <c r="A16">
        <v>15</v>
      </c>
      <c r="B16" t="s">
        <v>219</v>
      </c>
      <c r="C16" t="s">
        <v>102</v>
      </c>
      <c r="D16" t="s">
        <v>224</v>
      </c>
      <c r="E16" s="100" t="e">
        <f>#REF!</f>
        <v>#REF!</v>
      </c>
      <c r="F16" s="100" t="e">
        <f>#REF!</f>
        <v>#REF!</v>
      </c>
      <c r="G16" s="100" t="e">
        <f>#REF!</f>
        <v>#REF!</v>
      </c>
      <c r="H16" s="100" t="e">
        <f>#REF!</f>
        <v>#REF!</v>
      </c>
      <c r="I16" s="100" t="e">
        <f>#REF!</f>
        <v>#REF!</v>
      </c>
      <c r="J16" s="100" t="e">
        <f>#REF!</f>
        <v>#REF!</v>
      </c>
      <c r="K16" s="100" t="e">
        <f>#REF!</f>
        <v>#REF!</v>
      </c>
      <c r="L16" s="100" t="e">
        <f>#REF!</f>
        <v>#REF!</v>
      </c>
      <c r="M16" s="100" t="e">
        <f>#REF!</f>
        <v>#REF!</v>
      </c>
      <c r="N16" s="100" t="e">
        <f>#REF!</f>
        <v>#REF!</v>
      </c>
      <c r="O16" s="100" t="e">
        <f>#REF!</f>
        <v>#REF!</v>
      </c>
      <c r="P16" s="100" t="e">
        <f>#REF!</f>
        <v>#REF!</v>
      </c>
      <c r="Q16" s="100" t="e">
        <f>#REF!</f>
        <v>#REF!</v>
      </c>
      <c r="R16" s="100" t="e">
        <f>#REF!</f>
        <v>#REF!</v>
      </c>
      <c r="S16" s="100" t="e">
        <f>#REF!</f>
        <v>#REF!</v>
      </c>
      <c r="T16" s="100" t="e">
        <f>#REF!</f>
        <v>#REF!</v>
      </c>
      <c r="U16" s="100" t="e">
        <f>#REF!</f>
        <v>#REF!</v>
      </c>
      <c r="V16" s="100" t="e">
        <f>#REF!</f>
        <v>#REF!</v>
      </c>
      <c r="W16" s="100" t="e">
        <f>#REF!</f>
        <v>#REF!</v>
      </c>
      <c r="X16" s="100" t="e">
        <f>#REF!</f>
        <v>#REF!</v>
      </c>
      <c r="Y16" s="100" t="e">
        <f>#REF!</f>
        <v>#REF!</v>
      </c>
      <c r="Z16" s="100" t="e">
        <f>#REF!</f>
        <v>#REF!</v>
      </c>
      <c r="AA16" s="100" t="e">
        <f>#REF!</f>
        <v>#REF!</v>
      </c>
      <c r="AB16" s="100" t="e">
        <f>#REF!</f>
        <v>#REF!</v>
      </c>
      <c r="AC16" s="100" t="e">
        <f>#REF!</f>
        <v>#REF!</v>
      </c>
      <c r="AD16" s="100" t="e">
        <f>#REF!</f>
        <v>#REF!</v>
      </c>
      <c r="AE16" s="100" t="e">
        <f>#REF!</f>
        <v>#REF!</v>
      </c>
      <c r="AF16" s="100" t="e">
        <f>#REF!</f>
        <v>#REF!</v>
      </c>
    </row>
    <row r="17" spans="1:32" x14ac:dyDescent="0.35">
      <c r="A17">
        <v>16</v>
      </c>
      <c r="B17" t="s">
        <v>225</v>
      </c>
      <c r="C17" t="s">
        <v>11</v>
      </c>
      <c r="D17" t="s">
        <v>220</v>
      </c>
      <c r="E17" s="100" t="e">
        <f>#REF!</f>
        <v>#REF!</v>
      </c>
      <c r="F17" s="100" t="e">
        <f>#REF!</f>
        <v>#REF!</v>
      </c>
      <c r="G17" s="100" t="e">
        <f>#REF!</f>
        <v>#REF!</v>
      </c>
      <c r="H17" s="100" t="e">
        <f>#REF!</f>
        <v>#REF!</v>
      </c>
      <c r="I17" s="100" t="e">
        <f>#REF!</f>
        <v>#REF!</v>
      </c>
      <c r="J17" s="100" t="e">
        <f>#REF!</f>
        <v>#REF!</v>
      </c>
      <c r="K17" s="100" t="e">
        <f>#REF!</f>
        <v>#REF!</v>
      </c>
      <c r="L17" s="100" t="e">
        <f>#REF!</f>
        <v>#REF!</v>
      </c>
      <c r="M17" s="100" t="e">
        <f>#REF!</f>
        <v>#REF!</v>
      </c>
      <c r="N17" s="100" t="e">
        <f>#REF!</f>
        <v>#REF!</v>
      </c>
      <c r="O17" s="100" t="e">
        <f>#REF!</f>
        <v>#REF!</v>
      </c>
      <c r="P17" s="100" t="e">
        <f>#REF!</f>
        <v>#REF!</v>
      </c>
      <c r="Q17" s="100" t="e">
        <f>#REF!</f>
        <v>#REF!</v>
      </c>
      <c r="R17" s="100" t="e">
        <f>#REF!</f>
        <v>#REF!</v>
      </c>
      <c r="S17" s="100" t="e">
        <f>#REF!</f>
        <v>#REF!</v>
      </c>
      <c r="T17" s="100" t="e">
        <f>#REF!</f>
        <v>#REF!</v>
      </c>
      <c r="U17" s="100" t="e">
        <f>#REF!</f>
        <v>#REF!</v>
      </c>
      <c r="V17" s="100" t="e">
        <f>#REF!</f>
        <v>#REF!</v>
      </c>
      <c r="W17" s="100" t="e">
        <f>#REF!</f>
        <v>#REF!</v>
      </c>
      <c r="X17" s="100" t="e">
        <f>#REF!</f>
        <v>#REF!</v>
      </c>
      <c r="Y17" s="100" t="e">
        <f>#REF!</f>
        <v>#REF!</v>
      </c>
      <c r="Z17" s="100" t="e">
        <f>#REF!</f>
        <v>#REF!</v>
      </c>
      <c r="AA17" s="100" t="e">
        <f>#REF!</f>
        <v>#REF!</v>
      </c>
      <c r="AB17" s="100" t="e">
        <f>#REF!</f>
        <v>#REF!</v>
      </c>
      <c r="AC17" s="100" t="e">
        <f>#REF!</f>
        <v>#REF!</v>
      </c>
      <c r="AD17" s="100" t="e">
        <f>#REF!</f>
        <v>#REF!</v>
      </c>
      <c r="AE17" s="100" t="e">
        <f>#REF!</f>
        <v>#REF!</v>
      </c>
      <c r="AF17" s="100" t="e">
        <f>#REF!</f>
        <v>#REF!</v>
      </c>
    </row>
    <row r="18" spans="1:32" x14ac:dyDescent="0.35">
      <c r="A18">
        <v>17</v>
      </c>
      <c r="B18" t="s">
        <v>225</v>
      </c>
      <c r="C18" t="s">
        <v>11</v>
      </c>
      <c r="D18" t="s">
        <v>221</v>
      </c>
      <c r="E18" s="100" t="e">
        <f>#REF!</f>
        <v>#REF!</v>
      </c>
      <c r="F18" s="100" t="e">
        <f>#REF!</f>
        <v>#REF!</v>
      </c>
      <c r="G18" s="100" t="e">
        <f>#REF!</f>
        <v>#REF!</v>
      </c>
      <c r="H18" s="100" t="e">
        <f>#REF!</f>
        <v>#REF!</v>
      </c>
      <c r="I18" s="100" t="e">
        <f>#REF!</f>
        <v>#REF!</v>
      </c>
      <c r="J18" s="100" t="e">
        <f>#REF!</f>
        <v>#REF!</v>
      </c>
      <c r="K18" s="100" t="e">
        <f>#REF!</f>
        <v>#REF!</v>
      </c>
      <c r="L18" s="100" t="e">
        <f>#REF!</f>
        <v>#REF!</v>
      </c>
      <c r="M18" s="100" t="e">
        <f>#REF!</f>
        <v>#REF!</v>
      </c>
      <c r="N18" s="100" t="e">
        <f>#REF!</f>
        <v>#REF!</v>
      </c>
      <c r="O18" s="100" t="e">
        <f>#REF!</f>
        <v>#REF!</v>
      </c>
      <c r="P18" s="100" t="e">
        <f>#REF!</f>
        <v>#REF!</v>
      </c>
      <c r="Q18" s="100" t="e">
        <f>#REF!</f>
        <v>#REF!</v>
      </c>
      <c r="R18" s="100" t="e">
        <f>#REF!</f>
        <v>#REF!</v>
      </c>
      <c r="S18" s="100" t="e">
        <f>#REF!</f>
        <v>#REF!</v>
      </c>
      <c r="T18" s="100" t="e">
        <f>#REF!</f>
        <v>#REF!</v>
      </c>
      <c r="U18" s="100" t="e">
        <f>#REF!</f>
        <v>#REF!</v>
      </c>
      <c r="V18" s="100" t="e">
        <f>#REF!</f>
        <v>#REF!</v>
      </c>
      <c r="W18" s="100" t="e">
        <f>#REF!</f>
        <v>#REF!</v>
      </c>
      <c r="X18" s="100" t="e">
        <f>#REF!</f>
        <v>#REF!</v>
      </c>
      <c r="Y18" s="100" t="e">
        <f>#REF!</f>
        <v>#REF!</v>
      </c>
      <c r="Z18" s="100" t="e">
        <f>#REF!</f>
        <v>#REF!</v>
      </c>
      <c r="AA18" s="100" t="e">
        <f>#REF!</f>
        <v>#REF!</v>
      </c>
      <c r="AB18" s="100" t="e">
        <f>#REF!</f>
        <v>#REF!</v>
      </c>
      <c r="AC18" s="100" t="e">
        <f>#REF!</f>
        <v>#REF!</v>
      </c>
      <c r="AD18" s="100" t="e">
        <f>#REF!</f>
        <v>#REF!</v>
      </c>
      <c r="AE18" s="100" t="e">
        <f>#REF!</f>
        <v>#REF!</v>
      </c>
      <c r="AF18" s="100" t="e">
        <f>#REF!</f>
        <v>#REF!</v>
      </c>
    </row>
    <row r="19" spans="1:32" x14ac:dyDescent="0.35">
      <c r="A19">
        <v>18</v>
      </c>
      <c r="B19" t="s">
        <v>225</v>
      </c>
      <c r="C19" t="s">
        <v>11</v>
      </c>
      <c r="D19" t="s">
        <v>222</v>
      </c>
      <c r="E19" s="100" t="e">
        <f>#REF!</f>
        <v>#REF!</v>
      </c>
      <c r="F19" s="100" t="e">
        <f>#REF!</f>
        <v>#REF!</v>
      </c>
      <c r="G19" s="100" t="e">
        <f>#REF!</f>
        <v>#REF!</v>
      </c>
      <c r="H19" s="100" t="e">
        <f>#REF!</f>
        <v>#REF!</v>
      </c>
      <c r="I19" s="100" t="e">
        <f>#REF!</f>
        <v>#REF!</v>
      </c>
      <c r="J19" s="100" t="e">
        <f>#REF!</f>
        <v>#REF!</v>
      </c>
      <c r="K19" s="100" t="e">
        <f>#REF!</f>
        <v>#REF!</v>
      </c>
      <c r="L19" s="100" t="e">
        <f>#REF!</f>
        <v>#REF!</v>
      </c>
      <c r="M19" s="100" t="e">
        <f>#REF!</f>
        <v>#REF!</v>
      </c>
      <c r="N19" s="100" t="e">
        <f>#REF!</f>
        <v>#REF!</v>
      </c>
      <c r="O19" s="100" t="e">
        <f>#REF!</f>
        <v>#REF!</v>
      </c>
      <c r="P19" s="100" t="e">
        <f>#REF!</f>
        <v>#REF!</v>
      </c>
      <c r="Q19" s="100" t="e">
        <f>#REF!</f>
        <v>#REF!</v>
      </c>
      <c r="R19" s="100" t="e">
        <f>#REF!</f>
        <v>#REF!</v>
      </c>
      <c r="S19" s="100" t="e">
        <f>#REF!</f>
        <v>#REF!</v>
      </c>
      <c r="T19" s="100" t="e">
        <f>#REF!</f>
        <v>#REF!</v>
      </c>
      <c r="U19" s="100" t="e">
        <f>#REF!</f>
        <v>#REF!</v>
      </c>
      <c r="V19" s="100" t="e">
        <f>#REF!</f>
        <v>#REF!</v>
      </c>
      <c r="W19" s="100" t="e">
        <f>#REF!</f>
        <v>#REF!</v>
      </c>
      <c r="X19" s="100" t="e">
        <f>#REF!</f>
        <v>#REF!</v>
      </c>
      <c r="Y19" s="100" t="e">
        <f>#REF!</f>
        <v>#REF!</v>
      </c>
      <c r="Z19" s="100" t="e">
        <f>#REF!</f>
        <v>#REF!</v>
      </c>
      <c r="AA19" s="100" t="e">
        <f>#REF!</f>
        <v>#REF!</v>
      </c>
      <c r="AB19" s="100" t="e">
        <f>#REF!</f>
        <v>#REF!</v>
      </c>
      <c r="AC19" s="100" t="e">
        <f>#REF!</f>
        <v>#REF!</v>
      </c>
      <c r="AD19" s="100" t="e">
        <f>#REF!</f>
        <v>#REF!</v>
      </c>
      <c r="AE19" s="100" t="e">
        <f>#REF!</f>
        <v>#REF!</v>
      </c>
      <c r="AF19" s="100" t="e">
        <f>#REF!</f>
        <v>#REF!</v>
      </c>
    </row>
    <row r="20" spans="1:32" x14ac:dyDescent="0.35">
      <c r="A20">
        <v>19</v>
      </c>
      <c r="B20" t="s">
        <v>225</v>
      </c>
      <c r="C20" t="s">
        <v>11</v>
      </c>
      <c r="D20" t="s">
        <v>223</v>
      </c>
      <c r="E20" s="100" t="e">
        <f>#REF!</f>
        <v>#REF!</v>
      </c>
      <c r="F20" s="100" t="e">
        <f>#REF!</f>
        <v>#REF!</v>
      </c>
      <c r="G20" s="100" t="e">
        <f>#REF!</f>
        <v>#REF!</v>
      </c>
      <c r="H20" s="100" t="e">
        <f>#REF!</f>
        <v>#REF!</v>
      </c>
      <c r="I20" s="100" t="e">
        <f>#REF!</f>
        <v>#REF!</v>
      </c>
      <c r="J20" s="100" t="e">
        <f>#REF!</f>
        <v>#REF!</v>
      </c>
      <c r="K20" s="100" t="e">
        <f>#REF!</f>
        <v>#REF!</v>
      </c>
      <c r="L20" s="100" t="e">
        <f>#REF!</f>
        <v>#REF!</v>
      </c>
      <c r="M20" s="100" t="e">
        <f>#REF!</f>
        <v>#REF!</v>
      </c>
      <c r="N20" s="100" t="e">
        <f>#REF!</f>
        <v>#REF!</v>
      </c>
      <c r="O20" s="100" t="e">
        <f>#REF!</f>
        <v>#REF!</v>
      </c>
      <c r="P20" s="100" t="e">
        <f>#REF!</f>
        <v>#REF!</v>
      </c>
      <c r="Q20" s="100" t="e">
        <f>#REF!</f>
        <v>#REF!</v>
      </c>
      <c r="R20" s="100" t="e">
        <f>#REF!</f>
        <v>#REF!</v>
      </c>
      <c r="S20" s="100" t="e">
        <f>#REF!</f>
        <v>#REF!</v>
      </c>
      <c r="T20" s="100" t="e">
        <f>#REF!</f>
        <v>#REF!</v>
      </c>
      <c r="U20" s="100" t="e">
        <f>#REF!</f>
        <v>#REF!</v>
      </c>
      <c r="V20" s="100" t="e">
        <f>#REF!</f>
        <v>#REF!</v>
      </c>
      <c r="W20" s="100" t="e">
        <f>#REF!</f>
        <v>#REF!</v>
      </c>
      <c r="X20" s="100" t="e">
        <f>#REF!</f>
        <v>#REF!</v>
      </c>
      <c r="Y20" s="100" t="e">
        <f>#REF!</f>
        <v>#REF!</v>
      </c>
      <c r="Z20" s="100" t="e">
        <f>#REF!</f>
        <v>#REF!</v>
      </c>
      <c r="AA20" s="100" t="e">
        <f>#REF!</f>
        <v>#REF!</v>
      </c>
      <c r="AB20" s="100" t="e">
        <f>#REF!</f>
        <v>#REF!</v>
      </c>
      <c r="AC20" s="100" t="e">
        <f>#REF!</f>
        <v>#REF!</v>
      </c>
      <c r="AD20" s="100" t="e">
        <f>#REF!</f>
        <v>#REF!</v>
      </c>
      <c r="AE20" s="100" t="e">
        <f>#REF!</f>
        <v>#REF!</v>
      </c>
      <c r="AF20" s="100" t="e">
        <f>#REF!</f>
        <v>#REF!</v>
      </c>
    </row>
    <row r="21" spans="1:32" x14ac:dyDescent="0.35">
      <c r="A21">
        <v>20</v>
      </c>
      <c r="B21" t="s">
        <v>225</v>
      </c>
      <c r="C21" t="s">
        <v>11</v>
      </c>
      <c r="D21" t="s">
        <v>224</v>
      </c>
      <c r="E21" s="100" t="e">
        <f>#REF!</f>
        <v>#REF!</v>
      </c>
      <c r="F21" s="100" t="e">
        <f>#REF!</f>
        <v>#REF!</v>
      </c>
      <c r="G21" s="100" t="e">
        <f>#REF!</f>
        <v>#REF!</v>
      </c>
      <c r="H21" s="100" t="e">
        <f>#REF!</f>
        <v>#REF!</v>
      </c>
      <c r="I21" s="100" t="e">
        <f>#REF!</f>
        <v>#REF!</v>
      </c>
      <c r="J21" s="100" t="e">
        <f>#REF!</f>
        <v>#REF!</v>
      </c>
      <c r="K21" s="100" t="e">
        <f>#REF!</f>
        <v>#REF!</v>
      </c>
      <c r="L21" s="100" t="e">
        <f>#REF!</f>
        <v>#REF!</v>
      </c>
      <c r="M21" s="100" t="e">
        <f>#REF!</f>
        <v>#REF!</v>
      </c>
      <c r="N21" s="100" t="e">
        <f>#REF!</f>
        <v>#REF!</v>
      </c>
      <c r="O21" s="100" t="e">
        <f>#REF!</f>
        <v>#REF!</v>
      </c>
      <c r="P21" s="100" t="e">
        <f>#REF!</f>
        <v>#REF!</v>
      </c>
      <c r="Q21" s="100" t="e">
        <f>#REF!</f>
        <v>#REF!</v>
      </c>
      <c r="R21" s="100" t="e">
        <f>#REF!</f>
        <v>#REF!</v>
      </c>
      <c r="S21" s="100" t="e">
        <f>#REF!</f>
        <v>#REF!</v>
      </c>
      <c r="T21" s="100" t="e">
        <f>#REF!</f>
        <v>#REF!</v>
      </c>
      <c r="U21" s="100" t="e">
        <f>#REF!</f>
        <v>#REF!</v>
      </c>
      <c r="V21" s="100" t="e">
        <f>#REF!</f>
        <v>#REF!</v>
      </c>
      <c r="W21" s="100" t="e">
        <f>#REF!</f>
        <v>#REF!</v>
      </c>
      <c r="X21" s="100" t="e">
        <f>#REF!</f>
        <v>#REF!</v>
      </c>
      <c r="Y21" s="100" t="e">
        <f>#REF!</f>
        <v>#REF!</v>
      </c>
      <c r="Z21" s="100" t="e">
        <f>#REF!</f>
        <v>#REF!</v>
      </c>
      <c r="AA21" s="100" t="e">
        <f>#REF!</f>
        <v>#REF!</v>
      </c>
      <c r="AB21" s="100" t="e">
        <f>#REF!</f>
        <v>#REF!</v>
      </c>
      <c r="AC21" s="100" t="e">
        <f>#REF!</f>
        <v>#REF!</v>
      </c>
      <c r="AD21" s="100" t="e">
        <f>#REF!</f>
        <v>#REF!</v>
      </c>
      <c r="AE21" s="100" t="e">
        <f>#REF!</f>
        <v>#REF!</v>
      </c>
      <c r="AF21" s="100" t="e">
        <f>#REF!</f>
        <v>#REF!</v>
      </c>
    </row>
    <row r="22" spans="1:32" x14ac:dyDescent="0.35">
      <c r="A22">
        <v>21</v>
      </c>
      <c r="B22" t="s">
        <v>225</v>
      </c>
      <c r="C22" t="s">
        <v>135</v>
      </c>
      <c r="D22" t="s">
        <v>220</v>
      </c>
      <c r="E22" s="100" t="e">
        <f>#REF!</f>
        <v>#REF!</v>
      </c>
      <c r="F22" s="100" t="e">
        <f>#REF!</f>
        <v>#REF!</v>
      </c>
      <c r="G22" s="100" t="e">
        <f>#REF!</f>
        <v>#REF!</v>
      </c>
      <c r="H22" s="100" t="e">
        <f>#REF!</f>
        <v>#REF!</v>
      </c>
      <c r="I22" s="100" t="e">
        <f>#REF!</f>
        <v>#REF!</v>
      </c>
      <c r="J22" s="100" t="e">
        <f>#REF!</f>
        <v>#REF!</v>
      </c>
      <c r="K22" s="100" t="e">
        <f>#REF!</f>
        <v>#REF!</v>
      </c>
      <c r="L22" s="100" t="e">
        <f>#REF!</f>
        <v>#REF!</v>
      </c>
      <c r="M22" s="100" t="e">
        <f>#REF!</f>
        <v>#REF!</v>
      </c>
      <c r="N22" s="100" t="e">
        <f>#REF!</f>
        <v>#REF!</v>
      </c>
      <c r="O22" s="100" t="e">
        <f>#REF!</f>
        <v>#REF!</v>
      </c>
      <c r="P22" s="100" t="e">
        <f>#REF!</f>
        <v>#REF!</v>
      </c>
      <c r="Q22" s="100" t="e">
        <f>#REF!</f>
        <v>#REF!</v>
      </c>
      <c r="R22" s="100" t="e">
        <f>#REF!</f>
        <v>#REF!</v>
      </c>
      <c r="S22" s="100" t="e">
        <f>#REF!</f>
        <v>#REF!</v>
      </c>
      <c r="T22" s="100" t="e">
        <f>#REF!</f>
        <v>#REF!</v>
      </c>
      <c r="U22" s="100" t="e">
        <f>#REF!</f>
        <v>#REF!</v>
      </c>
      <c r="V22" s="100" t="e">
        <f>#REF!</f>
        <v>#REF!</v>
      </c>
      <c r="W22" s="100" t="e">
        <f>#REF!</f>
        <v>#REF!</v>
      </c>
      <c r="X22" s="100" t="e">
        <f>#REF!</f>
        <v>#REF!</v>
      </c>
      <c r="Y22" s="100" t="e">
        <f>#REF!</f>
        <v>#REF!</v>
      </c>
      <c r="Z22" s="100" t="e">
        <f>#REF!</f>
        <v>#REF!</v>
      </c>
      <c r="AA22" s="100" t="e">
        <f>#REF!</f>
        <v>#REF!</v>
      </c>
      <c r="AB22" s="100" t="e">
        <f>#REF!</f>
        <v>#REF!</v>
      </c>
      <c r="AC22" s="100" t="e">
        <f>#REF!</f>
        <v>#REF!</v>
      </c>
      <c r="AD22" s="100" t="e">
        <f>#REF!</f>
        <v>#REF!</v>
      </c>
      <c r="AE22" s="100" t="e">
        <f>#REF!</f>
        <v>#REF!</v>
      </c>
      <c r="AF22" s="100" t="e">
        <f>#REF!</f>
        <v>#REF!</v>
      </c>
    </row>
    <row r="23" spans="1:32" x14ac:dyDescent="0.35">
      <c r="A23">
        <v>22</v>
      </c>
      <c r="B23" t="s">
        <v>225</v>
      </c>
      <c r="C23" t="s">
        <v>135</v>
      </c>
      <c r="D23" t="s">
        <v>221</v>
      </c>
      <c r="E23" s="100" t="e">
        <f>#REF!</f>
        <v>#REF!</v>
      </c>
      <c r="F23" s="100" t="e">
        <f>#REF!</f>
        <v>#REF!</v>
      </c>
      <c r="G23" s="100" t="e">
        <f>#REF!</f>
        <v>#REF!</v>
      </c>
      <c r="H23" s="100" t="e">
        <f>#REF!</f>
        <v>#REF!</v>
      </c>
      <c r="I23" s="100" t="e">
        <f>#REF!</f>
        <v>#REF!</v>
      </c>
      <c r="J23" s="100" t="e">
        <f>#REF!</f>
        <v>#REF!</v>
      </c>
      <c r="K23" s="100" t="e">
        <f>#REF!</f>
        <v>#REF!</v>
      </c>
      <c r="L23" s="100" t="e">
        <f>#REF!</f>
        <v>#REF!</v>
      </c>
      <c r="M23" s="100" t="e">
        <f>#REF!</f>
        <v>#REF!</v>
      </c>
      <c r="N23" s="100" t="e">
        <f>#REF!</f>
        <v>#REF!</v>
      </c>
      <c r="O23" s="100" t="e">
        <f>#REF!</f>
        <v>#REF!</v>
      </c>
      <c r="P23" s="100" t="e">
        <f>#REF!</f>
        <v>#REF!</v>
      </c>
      <c r="Q23" s="100" t="e">
        <f>#REF!</f>
        <v>#REF!</v>
      </c>
      <c r="R23" s="100" t="e">
        <f>#REF!</f>
        <v>#REF!</v>
      </c>
      <c r="S23" s="100" t="e">
        <f>#REF!</f>
        <v>#REF!</v>
      </c>
      <c r="T23" s="100" t="e">
        <f>#REF!</f>
        <v>#REF!</v>
      </c>
      <c r="U23" s="100" t="e">
        <f>#REF!</f>
        <v>#REF!</v>
      </c>
      <c r="V23" s="100" t="e">
        <f>#REF!</f>
        <v>#REF!</v>
      </c>
      <c r="W23" s="100" t="e">
        <f>#REF!</f>
        <v>#REF!</v>
      </c>
      <c r="X23" s="100" t="e">
        <f>#REF!</f>
        <v>#REF!</v>
      </c>
      <c r="Y23" s="100" t="e">
        <f>#REF!</f>
        <v>#REF!</v>
      </c>
      <c r="Z23" s="100" t="e">
        <f>#REF!</f>
        <v>#REF!</v>
      </c>
      <c r="AA23" s="100" t="e">
        <f>#REF!</f>
        <v>#REF!</v>
      </c>
      <c r="AB23" s="100" t="e">
        <f>#REF!</f>
        <v>#REF!</v>
      </c>
      <c r="AC23" s="100" t="e">
        <f>#REF!</f>
        <v>#REF!</v>
      </c>
      <c r="AD23" s="100" t="e">
        <f>#REF!</f>
        <v>#REF!</v>
      </c>
      <c r="AE23" s="100" t="e">
        <f>#REF!</f>
        <v>#REF!</v>
      </c>
      <c r="AF23" s="100" t="e">
        <f>#REF!</f>
        <v>#REF!</v>
      </c>
    </row>
    <row r="24" spans="1:32" x14ac:dyDescent="0.35">
      <c r="A24">
        <v>23</v>
      </c>
      <c r="B24" t="s">
        <v>225</v>
      </c>
      <c r="C24" t="s">
        <v>135</v>
      </c>
      <c r="D24" t="s">
        <v>222</v>
      </c>
      <c r="E24" s="100" t="e">
        <f>#REF!</f>
        <v>#REF!</v>
      </c>
      <c r="F24" s="100" t="e">
        <f>#REF!</f>
        <v>#REF!</v>
      </c>
      <c r="G24" s="100" t="e">
        <f>#REF!</f>
        <v>#REF!</v>
      </c>
      <c r="H24" s="100" t="e">
        <f>#REF!</f>
        <v>#REF!</v>
      </c>
      <c r="I24" s="100" t="e">
        <f>#REF!</f>
        <v>#REF!</v>
      </c>
      <c r="J24" s="100" t="e">
        <f>#REF!</f>
        <v>#REF!</v>
      </c>
      <c r="K24" s="100" t="e">
        <f>#REF!</f>
        <v>#REF!</v>
      </c>
      <c r="L24" s="100" t="e">
        <f>#REF!</f>
        <v>#REF!</v>
      </c>
      <c r="M24" s="100" t="e">
        <f>#REF!</f>
        <v>#REF!</v>
      </c>
      <c r="N24" s="100" t="e">
        <f>#REF!</f>
        <v>#REF!</v>
      </c>
      <c r="O24" s="100" t="e">
        <f>#REF!</f>
        <v>#REF!</v>
      </c>
      <c r="P24" s="100" t="e">
        <f>#REF!</f>
        <v>#REF!</v>
      </c>
      <c r="Q24" s="100" t="e">
        <f>#REF!</f>
        <v>#REF!</v>
      </c>
      <c r="R24" s="100" t="e">
        <f>#REF!</f>
        <v>#REF!</v>
      </c>
      <c r="S24" s="100" t="e">
        <f>#REF!</f>
        <v>#REF!</v>
      </c>
      <c r="T24" s="100" t="e">
        <f>#REF!</f>
        <v>#REF!</v>
      </c>
      <c r="U24" s="100" t="e">
        <f>#REF!</f>
        <v>#REF!</v>
      </c>
      <c r="V24" s="100" t="e">
        <f>#REF!</f>
        <v>#REF!</v>
      </c>
      <c r="W24" s="100" t="e">
        <f>#REF!</f>
        <v>#REF!</v>
      </c>
      <c r="X24" s="100" t="e">
        <f>#REF!</f>
        <v>#REF!</v>
      </c>
      <c r="Y24" s="100" t="e">
        <f>#REF!</f>
        <v>#REF!</v>
      </c>
      <c r="Z24" s="100" t="e">
        <f>#REF!</f>
        <v>#REF!</v>
      </c>
      <c r="AA24" s="100" t="e">
        <f>#REF!</f>
        <v>#REF!</v>
      </c>
      <c r="AB24" s="100" t="e">
        <f>#REF!</f>
        <v>#REF!</v>
      </c>
      <c r="AC24" s="100" t="e">
        <f>#REF!</f>
        <v>#REF!</v>
      </c>
      <c r="AD24" s="100" t="e">
        <f>#REF!</f>
        <v>#REF!</v>
      </c>
      <c r="AE24" s="100" t="e">
        <f>#REF!</f>
        <v>#REF!</v>
      </c>
      <c r="AF24" s="100" t="e">
        <f>#REF!</f>
        <v>#REF!</v>
      </c>
    </row>
    <row r="25" spans="1:32" x14ac:dyDescent="0.35">
      <c r="A25">
        <v>24</v>
      </c>
      <c r="B25" t="s">
        <v>225</v>
      </c>
      <c r="C25" t="s">
        <v>135</v>
      </c>
      <c r="D25" t="s">
        <v>223</v>
      </c>
      <c r="E25" s="100" t="e">
        <f>#REF!</f>
        <v>#REF!</v>
      </c>
      <c r="F25" s="100" t="e">
        <f>#REF!</f>
        <v>#REF!</v>
      </c>
      <c r="G25" s="100" t="e">
        <f>#REF!</f>
        <v>#REF!</v>
      </c>
      <c r="H25" s="100" t="e">
        <f>#REF!</f>
        <v>#REF!</v>
      </c>
      <c r="I25" s="100" t="e">
        <f>#REF!</f>
        <v>#REF!</v>
      </c>
      <c r="J25" s="100" t="e">
        <f>#REF!</f>
        <v>#REF!</v>
      </c>
      <c r="K25" s="100" t="e">
        <f>#REF!</f>
        <v>#REF!</v>
      </c>
      <c r="L25" s="100" t="e">
        <f>#REF!</f>
        <v>#REF!</v>
      </c>
      <c r="M25" s="100" t="e">
        <f>#REF!</f>
        <v>#REF!</v>
      </c>
      <c r="N25" s="100" t="e">
        <f>#REF!</f>
        <v>#REF!</v>
      </c>
      <c r="O25" s="100" t="e">
        <f>#REF!</f>
        <v>#REF!</v>
      </c>
      <c r="P25" s="100" t="e">
        <f>#REF!</f>
        <v>#REF!</v>
      </c>
      <c r="Q25" s="100" t="e">
        <f>#REF!</f>
        <v>#REF!</v>
      </c>
      <c r="R25" s="100" t="e">
        <f>#REF!</f>
        <v>#REF!</v>
      </c>
      <c r="S25" s="100" t="e">
        <f>#REF!</f>
        <v>#REF!</v>
      </c>
      <c r="T25" s="100" t="e">
        <f>#REF!</f>
        <v>#REF!</v>
      </c>
      <c r="U25" s="100" t="e">
        <f>#REF!</f>
        <v>#REF!</v>
      </c>
      <c r="V25" s="100" t="e">
        <f>#REF!</f>
        <v>#REF!</v>
      </c>
      <c r="W25" s="100" t="e">
        <f>#REF!</f>
        <v>#REF!</v>
      </c>
      <c r="X25" s="100" t="e">
        <f>#REF!</f>
        <v>#REF!</v>
      </c>
      <c r="Y25" s="100" t="e">
        <f>#REF!</f>
        <v>#REF!</v>
      </c>
      <c r="Z25" s="100" t="e">
        <f>#REF!</f>
        <v>#REF!</v>
      </c>
      <c r="AA25" s="100" t="e">
        <f>#REF!</f>
        <v>#REF!</v>
      </c>
      <c r="AB25" s="100" t="e">
        <f>#REF!</f>
        <v>#REF!</v>
      </c>
      <c r="AC25" s="100" t="e">
        <f>#REF!</f>
        <v>#REF!</v>
      </c>
      <c r="AD25" s="100" t="e">
        <f>#REF!</f>
        <v>#REF!</v>
      </c>
      <c r="AE25" s="100" t="e">
        <f>#REF!</f>
        <v>#REF!</v>
      </c>
      <c r="AF25" s="100" t="e">
        <f>#REF!</f>
        <v>#REF!</v>
      </c>
    </row>
    <row r="26" spans="1:32" x14ac:dyDescent="0.35">
      <c r="A26">
        <v>25</v>
      </c>
      <c r="B26" t="s">
        <v>225</v>
      </c>
      <c r="C26" t="s">
        <v>135</v>
      </c>
      <c r="D26" t="s">
        <v>224</v>
      </c>
      <c r="E26" s="100" t="e">
        <f>#REF!</f>
        <v>#REF!</v>
      </c>
      <c r="F26" s="100" t="e">
        <f>#REF!</f>
        <v>#REF!</v>
      </c>
      <c r="G26" s="100" t="e">
        <f>#REF!</f>
        <v>#REF!</v>
      </c>
      <c r="H26" s="100" t="e">
        <f>#REF!</f>
        <v>#REF!</v>
      </c>
      <c r="I26" s="100" t="e">
        <f>#REF!</f>
        <v>#REF!</v>
      </c>
      <c r="J26" s="100" t="e">
        <f>#REF!</f>
        <v>#REF!</v>
      </c>
      <c r="K26" s="100" t="e">
        <f>#REF!</f>
        <v>#REF!</v>
      </c>
      <c r="L26" s="100" t="e">
        <f>#REF!</f>
        <v>#REF!</v>
      </c>
      <c r="M26" s="100" t="e">
        <f>#REF!</f>
        <v>#REF!</v>
      </c>
      <c r="N26" s="100" t="e">
        <f>#REF!</f>
        <v>#REF!</v>
      </c>
      <c r="O26" s="100" t="e">
        <f>#REF!</f>
        <v>#REF!</v>
      </c>
      <c r="P26" s="100" t="e">
        <f>#REF!</f>
        <v>#REF!</v>
      </c>
      <c r="Q26" s="100" t="e">
        <f>#REF!</f>
        <v>#REF!</v>
      </c>
      <c r="R26" s="100" t="e">
        <f>#REF!</f>
        <v>#REF!</v>
      </c>
      <c r="S26" s="100" t="e">
        <f>#REF!</f>
        <v>#REF!</v>
      </c>
      <c r="T26" s="100" t="e">
        <f>#REF!</f>
        <v>#REF!</v>
      </c>
      <c r="U26" s="100" t="e">
        <f>#REF!</f>
        <v>#REF!</v>
      </c>
      <c r="V26" s="100" t="e">
        <f>#REF!</f>
        <v>#REF!</v>
      </c>
      <c r="W26" s="100" t="e">
        <f>#REF!</f>
        <v>#REF!</v>
      </c>
      <c r="X26" s="100" t="e">
        <f>#REF!</f>
        <v>#REF!</v>
      </c>
      <c r="Y26" s="100" t="e">
        <f>#REF!</f>
        <v>#REF!</v>
      </c>
      <c r="Z26" s="100" t="e">
        <f>#REF!</f>
        <v>#REF!</v>
      </c>
      <c r="AA26" s="100" t="e">
        <f>#REF!</f>
        <v>#REF!</v>
      </c>
      <c r="AB26" s="100" t="e">
        <f>#REF!</f>
        <v>#REF!</v>
      </c>
      <c r="AC26" s="100" t="e">
        <f>#REF!</f>
        <v>#REF!</v>
      </c>
      <c r="AD26" s="100" t="e">
        <f>#REF!</f>
        <v>#REF!</v>
      </c>
      <c r="AE26" s="100" t="e">
        <f>#REF!</f>
        <v>#REF!</v>
      </c>
      <c r="AF26" s="100" t="e">
        <f>#REF!</f>
        <v>#REF!</v>
      </c>
    </row>
    <row r="27" spans="1:32" x14ac:dyDescent="0.35">
      <c r="A27">
        <v>26</v>
      </c>
      <c r="B27" t="s">
        <v>225</v>
      </c>
      <c r="C27" t="s">
        <v>86</v>
      </c>
      <c r="D27" t="s">
        <v>220</v>
      </c>
      <c r="E27" s="100" t="e">
        <f>#REF!</f>
        <v>#REF!</v>
      </c>
      <c r="F27" s="100" t="e">
        <f>#REF!</f>
        <v>#REF!</v>
      </c>
      <c r="G27" s="100" t="e">
        <f>#REF!</f>
        <v>#REF!</v>
      </c>
      <c r="H27" s="100" t="e">
        <f>#REF!</f>
        <v>#REF!</v>
      </c>
      <c r="I27" s="100" t="e">
        <f>#REF!</f>
        <v>#REF!</v>
      </c>
      <c r="J27" s="100" t="e">
        <f>#REF!</f>
        <v>#REF!</v>
      </c>
      <c r="K27" s="100" t="e">
        <f>#REF!</f>
        <v>#REF!</v>
      </c>
      <c r="L27" s="100" t="e">
        <f>#REF!</f>
        <v>#REF!</v>
      </c>
      <c r="M27" s="100" t="e">
        <f>#REF!</f>
        <v>#REF!</v>
      </c>
      <c r="N27" s="100" t="e">
        <f>#REF!</f>
        <v>#REF!</v>
      </c>
      <c r="O27" s="100" t="e">
        <f>#REF!</f>
        <v>#REF!</v>
      </c>
      <c r="P27" s="100" t="e">
        <f>#REF!</f>
        <v>#REF!</v>
      </c>
      <c r="Q27" s="100" t="e">
        <f>#REF!</f>
        <v>#REF!</v>
      </c>
      <c r="R27" s="100" t="e">
        <f>#REF!</f>
        <v>#REF!</v>
      </c>
      <c r="S27" s="100" t="e">
        <f>#REF!</f>
        <v>#REF!</v>
      </c>
      <c r="T27" s="100" t="e">
        <f>#REF!</f>
        <v>#REF!</v>
      </c>
      <c r="U27" s="100" t="e">
        <f>#REF!</f>
        <v>#REF!</v>
      </c>
      <c r="V27" s="100" t="e">
        <f>#REF!</f>
        <v>#REF!</v>
      </c>
      <c r="W27" s="100" t="e">
        <f>#REF!</f>
        <v>#REF!</v>
      </c>
      <c r="X27" s="100" t="e">
        <f>#REF!</f>
        <v>#REF!</v>
      </c>
      <c r="Y27" s="100" t="e">
        <f>#REF!</f>
        <v>#REF!</v>
      </c>
      <c r="Z27" s="100" t="e">
        <f>#REF!</f>
        <v>#REF!</v>
      </c>
      <c r="AA27" s="100" t="e">
        <f>#REF!</f>
        <v>#REF!</v>
      </c>
      <c r="AB27" s="100" t="e">
        <f>#REF!</f>
        <v>#REF!</v>
      </c>
      <c r="AC27" s="100" t="e">
        <f>#REF!</f>
        <v>#REF!</v>
      </c>
      <c r="AD27" s="100" t="e">
        <f>#REF!</f>
        <v>#REF!</v>
      </c>
      <c r="AE27" s="100" t="e">
        <f>#REF!</f>
        <v>#REF!</v>
      </c>
      <c r="AF27" s="100" t="e">
        <f>#REF!</f>
        <v>#REF!</v>
      </c>
    </row>
    <row r="28" spans="1:32" x14ac:dyDescent="0.35">
      <c r="A28">
        <v>27</v>
      </c>
      <c r="B28" t="s">
        <v>225</v>
      </c>
      <c r="C28" t="s">
        <v>86</v>
      </c>
      <c r="D28" t="s">
        <v>221</v>
      </c>
      <c r="E28" s="100" t="e">
        <f>#REF!</f>
        <v>#REF!</v>
      </c>
      <c r="F28" s="100" t="e">
        <f>#REF!</f>
        <v>#REF!</v>
      </c>
      <c r="G28" s="100" t="e">
        <f>#REF!</f>
        <v>#REF!</v>
      </c>
      <c r="H28" s="100" t="e">
        <f>#REF!</f>
        <v>#REF!</v>
      </c>
      <c r="I28" s="100" t="e">
        <f>#REF!</f>
        <v>#REF!</v>
      </c>
      <c r="J28" s="100" t="e">
        <f>#REF!</f>
        <v>#REF!</v>
      </c>
      <c r="K28" s="100" t="e">
        <f>#REF!</f>
        <v>#REF!</v>
      </c>
      <c r="L28" s="100" t="e">
        <f>#REF!</f>
        <v>#REF!</v>
      </c>
      <c r="M28" s="100" t="e">
        <f>#REF!</f>
        <v>#REF!</v>
      </c>
      <c r="N28" s="100" t="e">
        <f>#REF!</f>
        <v>#REF!</v>
      </c>
      <c r="O28" s="100" t="e">
        <f>#REF!</f>
        <v>#REF!</v>
      </c>
      <c r="P28" s="100" t="e">
        <f>#REF!</f>
        <v>#REF!</v>
      </c>
      <c r="Q28" s="100" t="e">
        <f>#REF!</f>
        <v>#REF!</v>
      </c>
      <c r="R28" s="100" t="e">
        <f>#REF!</f>
        <v>#REF!</v>
      </c>
      <c r="S28" s="100" t="e">
        <f>#REF!</f>
        <v>#REF!</v>
      </c>
      <c r="T28" s="100" t="e">
        <f>#REF!</f>
        <v>#REF!</v>
      </c>
      <c r="U28" s="100" t="e">
        <f>#REF!</f>
        <v>#REF!</v>
      </c>
      <c r="V28" s="100" t="e">
        <f>#REF!</f>
        <v>#REF!</v>
      </c>
      <c r="W28" s="100" t="e">
        <f>#REF!</f>
        <v>#REF!</v>
      </c>
      <c r="X28" s="100" t="e">
        <f>#REF!</f>
        <v>#REF!</v>
      </c>
      <c r="Y28" s="100" t="e">
        <f>#REF!</f>
        <v>#REF!</v>
      </c>
      <c r="Z28" s="100" t="e">
        <f>#REF!</f>
        <v>#REF!</v>
      </c>
      <c r="AA28" s="100" t="e">
        <f>#REF!</f>
        <v>#REF!</v>
      </c>
      <c r="AB28" s="100" t="e">
        <f>#REF!</f>
        <v>#REF!</v>
      </c>
      <c r="AC28" s="100" t="e">
        <f>#REF!</f>
        <v>#REF!</v>
      </c>
      <c r="AD28" s="100" t="e">
        <f>#REF!</f>
        <v>#REF!</v>
      </c>
      <c r="AE28" s="100" t="e">
        <f>#REF!</f>
        <v>#REF!</v>
      </c>
      <c r="AF28" s="100" t="e">
        <f>#REF!</f>
        <v>#REF!</v>
      </c>
    </row>
    <row r="29" spans="1:32" x14ac:dyDescent="0.35">
      <c r="A29">
        <v>28</v>
      </c>
      <c r="B29" t="s">
        <v>225</v>
      </c>
      <c r="C29" t="s">
        <v>86</v>
      </c>
      <c r="D29" t="s">
        <v>222</v>
      </c>
      <c r="E29" s="100" t="e">
        <f>#REF!</f>
        <v>#REF!</v>
      </c>
      <c r="F29" s="100" t="e">
        <f>#REF!</f>
        <v>#REF!</v>
      </c>
      <c r="G29" s="100" t="e">
        <f>#REF!</f>
        <v>#REF!</v>
      </c>
      <c r="H29" s="100" t="e">
        <f>#REF!</f>
        <v>#REF!</v>
      </c>
      <c r="I29" s="100" t="e">
        <f>#REF!</f>
        <v>#REF!</v>
      </c>
      <c r="J29" s="100" t="e">
        <f>#REF!</f>
        <v>#REF!</v>
      </c>
      <c r="K29" s="100" t="e">
        <f>#REF!</f>
        <v>#REF!</v>
      </c>
      <c r="L29" s="100" t="e">
        <f>#REF!</f>
        <v>#REF!</v>
      </c>
      <c r="M29" s="100" t="e">
        <f>#REF!</f>
        <v>#REF!</v>
      </c>
      <c r="N29" s="100" t="e">
        <f>#REF!</f>
        <v>#REF!</v>
      </c>
      <c r="O29" s="100" t="e">
        <f>#REF!</f>
        <v>#REF!</v>
      </c>
      <c r="P29" s="100" t="e">
        <f>#REF!</f>
        <v>#REF!</v>
      </c>
      <c r="Q29" s="100" t="e">
        <f>#REF!</f>
        <v>#REF!</v>
      </c>
      <c r="R29" s="100" t="e">
        <f>#REF!</f>
        <v>#REF!</v>
      </c>
      <c r="S29" s="100" t="e">
        <f>#REF!</f>
        <v>#REF!</v>
      </c>
      <c r="T29" s="100" t="e">
        <f>#REF!</f>
        <v>#REF!</v>
      </c>
      <c r="U29" s="100" t="e">
        <f>#REF!</f>
        <v>#REF!</v>
      </c>
      <c r="V29" s="100" t="e">
        <f>#REF!</f>
        <v>#REF!</v>
      </c>
      <c r="W29" s="100" t="e">
        <f>#REF!</f>
        <v>#REF!</v>
      </c>
      <c r="X29" s="100" t="e">
        <f>#REF!</f>
        <v>#REF!</v>
      </c>
      <c r="Y29" s="100" t="e">
        <f>#REF!</f>
        <v>#REF!</v>
      </c>
      <c r="Z29" s="100" t="e">
        <f>#REF!</f>
        <v>#REF!</v>
      </c>
      <c r="AA29" s="100" t="e">
        <f>#REF!</f>
        <v>#REF!</v>
      </c>
      <c r="AB29" s="100" t="e">
        <f>#REF!</f>
        <v>#REF!</v>
      </c>
      <c r="AC29" s="100" t="e">
        <f>#REF!</f>
        <v>#REF!</v>
      </c>
      <c r="AD29" s="100" t="e">
        <f>#REF!</f>
        <v>#REF!</v>
      </c>
      <c r="AE29" s="100" t="e">
        <f>#REF!</f>
        <v>#REF!</v>
      </c>
      <c r="AF29" s="100" t="e">
        <f>#REF!</f>
        <v>#REF!</v>
      </c>
    </row>
    <row r="30" spans="1:32" x14ac:dyDescent="0.35">
      <c r="A30">
        <v>29</v>
      </c>
      <c r="B30" t="s">
        <v>225</v>
      </c>
      <c r="C30" t="s">
        <v>86</v>
      </c>
      <c r="D30" t="s">
        <v>223</v>
      </c>
      <c r="E30" s="100" t="e">
        <f>#REF!</f>
        <v>#REF!</v>
      </c>
      <c r="F30" s="100" t="e">
        <f>#REF!</f>
        <v>#REF!</v>
      </c>
      <c r="G30" s="100" t="e">
        <f>#REF!</f>
        <v>#REF!</v>
      </c>
      <c r="H30" s="100" t="e">
        <f>#REF!</f>
        <v>#REF!</v>
      </c>
      <c r="I30" s="100" t="e">
        <f>#REF!</f>
        <v>#REF!</v>
      </c>
      <c r="J30" s="100" t="e">
        <f>#REF!</f>
        <v>#REF!</v>
      </c>
      <c r="K30" s="100" t="e">
        <f>#REF!</f>
        <v>#REF!</v>
      </c>
      <c r="L30" s="100" t="e">
        <f>#REF!</f>
        <v>#REF!</v>
      </c>
      <c r="M30" s="100" t="e">
        <f>#REF!</f>
        <v>#REF!</v>
      </c>
      <c r="N30" s="100" t="e">
        <f>#REF!</f>
        <v>#REF!</v>
      </c>
      <c r="O30" s="100" t="e">
        <f>#REF!</f>
        <v>#REF!</v>
      </c>
      <c r="P30" s="100" t="e">
        <f>#REF!</f>
        <v>#REF!</v>
      </c>
      <c r="Q30" s="100" t="e">
        <f>#REF!</f>
        <v>#REF!</v>
      </c>
      <c r="R30" s="100" t="e">
        <f>#REF!</f>
        <v>#REF!</v>
      </c>
      <c r="S30" s="100" t="e">
        <f>#REF!</f>
        <v>#REF!</v>
      </c>
      <c r="T30" s="100" t="e">
        <f>#REF!</f>
        <v>#REF!</v>
      </c>
      <c r="U30" s="100" t="e">
        <f>#REF!</f>
        <v>#REF!</v>
      </c>
      <c r="V30" s="100" t="e">
        <f>#REF!</f>
        <v>#REF!</v>
      </c>
      <c r="W30" s="100" t="e">
        <f>#REF!</f>
        <v>#REF!</v>
      </c>
      <c r="X30" s="100" t="e">
        <f>#REF!</f>
        <v>#REF!</v>
      </c>
      <c r="Y30" s="100" t="e">
        <f>#REF!</f>
        <v>#REF!</v>
      </c>
      <c r="Z30" s="100" t="e">
        <f>#REF!</f>
        <v>#REF!</v>
      </c>
      <c r="AA30" s="100" t="e">
        <f>#REF!</f>
        <v>#REF!</v>
      </c>
      <c r="AB30" s="100" t="e">
        <f>#REF!</f>
        <v>#REF!</v>
      </c>
      <c r="AC30" s="100" t="e">
        <f>#REF!</f>
        <v>#REF!</v>
      </c>
      <c r="AD30" s="100" t="e">
        <f>#REF!</f>
        <v>#REF!</v>
      </c>
      <c r="AE30" s="100" t="e">
        <f>#REF!</f>
        <v>#REF!</v>
      </c>
      <c r="AF30" s="100" t="e">
        <f>#REF!</f>
        <v>#REF!</v>
      </c>
    </row>
    <row r="31" spans="1:32" x14ac:dyDescent="0.35">
      <c r="A31">
        <v>30</v>
      </c>
      <c r="B31" t="s">
        <v>225</v>
      </c>
      <c r="C31" t="s">
        <v>86</v>
      </c>
      <c r="D31" t="s">
        <v>224</v>
      </c>
      <c r="E31" s="100" t="e">
        <f>#REF!</f>
        <v>#REF!</v>
      </c>
      <c r="F31" s="100" t="e">
        <f>#REF!</f>
        <v>#REF!</v>
      </c>
      <c r="G31" s="100" t="e">
        <f>#REF!</f>
        <v>#REF!</v>
      </c>
      <c r="H31" s="100" t="e">
        <f>#REF!</f>
        <v>#REF!</v>
      </c>
      <c r="I31" s="100" t="e">
        <f>#REF!</f>
        <v>#REF!</v>
      </c>
      <c r="J31" s="100" t="e">
        <f>#REF!</f>
        <v>#REF!</v>
      </c>
      <c r="K31" s="100" t="e">
        <f>#REF!</f>
        <v>#REF!</v>
      </c>
      <c r="L31" s="100" t="e">
        <f>#REF!</f>
        <v>#REF!</v>
      </c>
      <c r="M31" s="100" t="e">
        <f>#REF!</f>
        <v>#REF!</v>
      </c>
      <c r="N31" s="100" t="e">
        <f>#REF!</f>
        <v>#REF!</v>
      </c>
      <c r="O31" s="100" t="e">
        <f>#REF!</f>
        <v>#REF!</v>
      </c>
      <c r="P31" s="100" t="e">
        <f>#REF!</f>
        <v>#REF!</v>
      </c>
      <c r="Q31" s="100" t="e">
        <f>#REF!</f>
        <v>#REF!</v>
      </c>
      <c r="R31" s="100" t="e">
        <f>#REF!</f>
        <v>#REF!</v>
      </c>
      <c r="S31" s="100" t="e">
        <f>#REF!</f>
        <v>#REF!</v>
      </c>
      <c r="T31" s="100" t="e">
        <f>#REF!</f>
        <v>#REF!</v>
      </c>
      <c r="U31" s="100" t="e">
        <f>#REF!</f>
        <v>#REF!</v>
      </c>
      <c r="V31" s="100" t="e">
        <f>#REF!</f>
        <v>#REF!</v>
      </c>
      <c r="W31" s="100" t="e">
        <f>#REF!</f>
        <v>#REF!</v>
      </c>
      <c r="X31" s="100" t="e">
        <f>#REF!</f>
        <v>#REF!</v>
      </c>
      <c r="Y31" s="100" t="e">
        <f>#REF!</f>
        <v>#REF!</v>
      </c>
      <c r="Z31" s="100" t="e">
        <f>#REF!</f>
        <v>#REF!</v>
      </c>
      <c r="AA31" s="100" t="e">
        <f>#REF!</f>
        <v>#REF!</v>
      </c>
      <c r="AB31" s="100" t="e">
        <f>#REF!</f>
        <v>#REF!</v>
      </c>
      <c r="AC31" s="100" t="e">
        <f>#REF!</f>
        <v>#REF!</v>
      </c>
      <c r="AD31" s="100" t="e">
        <f>#REF!</f>
        <v>#REF!</v>
      </c>
      <c r="AE31" s="100" t="e">
        <f>#REF!</f>
        <v>#REF!</v>
      </c>
      <c r="AF31" s="100" t="e">
        <f>#REF!</f>
        <v>#REF!</v>
      </c>
    </row>
    <row r="32" spans="1:32" x14ac:dyDescent="0.35">
      <c r="A32">
        <v>31</v>
      </c>
      <c r="B32" t="s">
        <v>225</v>
      </c>
      <c r="C32" t="s">
        <v>102</v>
      </c>
      <c r="D32" t="s">
        <v>220</v>
      </c>
      <c r="E32" s="100" t="e">
        <f>#REF!</f>
        <v>#REF!</v>
      </c>
      <c r="F32" s="100" t="e">
        <f>#REF!</f>
        <v>#REF!</v>
      </c>
      <c r="G32" s="100" t="e">
        <f>#REF!</f>
        <v>#REF!</v>
      </c>
      <c r="H32" s="100" t="e">
        <f>#REF!</f>
        <v>#REF!</v>
      </c>
      <c r="I32" s="100" t="e">
        <f>#REF!</f>
        <v>#REF!</v>
      </c>
      <c r="J32" s="100" t="e">
        <f>#REF!</f>
        <v>#REF!</v>
      </c>
      <c r="K32" s="100" t="e">
        <f>#REF!</f>
        <v>#REF!</v>
      </c>
      <c r="L32" s="100" t="e">
        <f>#REF!</f>
        <v>#REF!</v>
      </c>
      <c r="M32" s="100" t="e">
        <f>#REF!</f>
        <v>#REF!</v>
      </c>
      <c r="N32" s="100" t="e">
        <f>#REF!</f>
        <v>#REF!</v>
      </c>
      <c r="O32" s="100" t="e">
        <f>#REF!</f>
        <v>#REF!</v>
      </c>
      <c r="P32" s="100" t="e">
        <f>#REF!</f>
        <v>#REF!</v>
      </c>
      <c r="Q32" s="100" t="e">
        <f>#REF!</f>
        <v>#REF!</v>
      </c>
      <c r="R32" s="100" t="e">
        <f>#REF!</f>
        <v>#REF!</v>
      </c>
      <c r="S32" s="100" t="e">
        <f>#REF!</f>
        <v>#REF!</v>
      </c>
      <c r="T32" s="100" t="e">
        <f>#REF!</f>
        <v>#REF!</v>
      </c>
      <c r="U32" s="100" t="e">
        <f>#REF!</f>
        <v>#REF!</v>
      </c>
      <c r="V32" s="100" t="e">
        <f>#REF!</f>
        <v>#REF!</v>
      </c>
      <c r="W32" s="100" t="e">
        <f>#REF!</f>
        <v>#REF!</v>
      </c>
      <c r="X32" s="100" t="e">
        <f>#REF!</f>
        <v>#REF!</v>
      </c>
      <c r="Y32" s="100" t="e">
        <f>#REF!</f>
        <v>#REF!</v>
      </c>
      <c r="Z32" s="100" t="e">
        <f>#REF!</f>
        <v>#REF!</v>
      </c>
      <c r="AA32" s="100" t="e">
        <f>#REF!</f>
        <v>#REF!</v>
      </c>
      <c r="AB32" s="100" t="e">
        <f>#REF!</f>
        <v>#REF!</v>
      </c>
      <c r="AC32" s="100" t="e">
        <f>#REF!</f>
        <v>#REF!</v>
      </c>
      <c r="AD32" s="100" t="e">
        <f>#REF!</f>
        <v>#REF!</v>
      </c>
      <c r="AE32" s="100" t="e">
        <f>#REF!</f>
        <v>#REF!</v>
      </c>
      <c r="AF32" s="100" t="e">
        <f>#REF!</f>
        <v>#REF!</v>
      </c>
    </row>
    <row r="33" spans="1:32" x14ac:dyDescent="0.35">
      <c r="A33">
        <v>32</v>
      </c>
      <c r="B33" t="s">
        <v>225</v>
      </c>
      <c r="C33" t="s">
        <v>102</v>
      </c>
      <c r="D33" t="s">
        <v>221</v>
      </c>
      <c r="E33" s="100" t="e">
        <f>#REF!</f>
        <v>#REF!</v>
      </c>
      <c r="F33" s="100" t="e">
        <f>#REF!</f>
        <v>#REF!</v>
      </c>
      <c r="G33" s="100" t="e">
        <f>#REF!</f>
        <v>#REF!</v>
      </c>
      <c r="H33" s="100" t="e">
        <f>#REF!</f>
        <v>#REF!</v>
      </c>
      <c r="I33" s="100" t="e">
        <f>#REF!</f>
        <v>#REF!</v>
      </c>
      <c r="J33" s="100" t="e">
        <f>#REF!</f>
        <v>#REF!</v>
      </c>
      <c r="K33" s="100" t="e">
        <f>#REF!</f>
        <v>#REF!</v>
      </c>
      <c r="L33" s="100" t="e">
        <f>#REF!</f>
        <v>#REF!</v>
      </c>
      <c r="M33" s="100" t="e">
        <f>#REF!</f>
        <v>#REF!</v>
      </c>
      <c r="N33" s="100" t="e">
        <f>#REF!</f>
        <v>#REF!</v>
      </c>
      <c r="O33" s="100" t="e">
        <f>#REF!</f>
        <v>#REF!</v>
      </c>
      <c r="P33" s="100" t="e">
        <f>#REF!</f>
        <v>#REF!</v>
      </c>
      <c r="Q33" s="100" t="e">
        <f>#REF!</f>
        <v>#REF!</v>
      </c>
      <c r="R33" s="100" t="e">
        <f>#REF!</f>
        <v>#REF!</v>
      </c>
      <c r="S33" s="100" t="e">
        <f>#REF!</f>
        <v>#REF!</v>
      </c>
      <c r="T33" s="100" t="e">
        <f>#REF!</f>
        <v>#REF!</v>
      </c>
      <c r="U33" s="100" t="e">
        <f>#REF!</f>
        <v>#REF!</v>
      </c>
      <c r="V33" s="100" t="e">
        <f>#REF!</f>
        <v>#REF!</v>
      </c>
      <c r="W33" s="100" t="e">
        <f>#REF!</f>
        <v>#REF!</v>
      </c>
      <c r="X33" s="100" t="e">
        <f>#REF!</f>
        <v>#REF!</v>
      </c>
      <c r="Y33" s="100" t="e">
        <f>#REF!</f>
        <v>#REF!</v>
      </c>
      <c r="Z33" s="100" t="e">
        <f>#REF!</f>
        <v>#REF!</v>
      </c>
      <c r="AA33" s="100" t="e">
        <f>#REF!</f>
        <v>#REF!</v>
      </c>
      <c r="AB33" s="100" t="e">
        <f>#REF!</f>
        <v>#REF!</v>
      </c>
      <c r="AC33" s="100" t="e">
        <f>#REF!</f>
        <v>#REF!</v>
      </c>
      <c r="AD33" s="100" t="e">
        <f>#REF!</f>
        <v>#REF!</v>
      </c>
      <c r="AE33" s="100" t="e">
        <f>#REF!</f>
        <v>#REF!</v>
      </c>
      <c r="AF33" s="100" t="e">
        <f>#REF!</f>
        <v>#REF!</v>
      </c>
    </row>
    <row r="34" spans="1:32" x14ac:dyDescent="0.35">
      <c r="A34">
        <v>33</v>
      </c>
      <c r="B34" t="s">
        <v>225</v>
      </c>
      <c r="C34" t="s">
        <v>102</v>
      </c>
      <c r="D34" t="s">
        <v>222</v>
      </c>
      <c r="E34" s="100" t="e">
        <f>#REF!</f>
        <v>#REF!</v>
      </c>
      <c r="F34" s="100" t="e">
        <f>#REF!</f>
        <v>#REF!</v>
      </c>
      <c r="G34" s="100" t="e">
        <f>#REF!</f>
        <v>#REF!</v>
      </c>
      <c r="H34" s="100" t="e">
        <f>#REF!</f>
        <v>#REF!</v>
      </c>
      <c r="I34" s="100" t="e">
        <f>#REF!</f>
        <v>#REF!</v>
      </c>
      <c r="J34" s="100" t="e">
        <f>#REF!</f>
        <v>#REF!</v>
      </c>
      <c r="K34" s="100" t="e">
        <f>#REF!</f>
        <v>#REF!</v>
      </c>
      <c r="L34" s="100" t="e">
        <f>#REF!</f>
        <v>#REF!</v>
      </c>
      <c r="M34" s="100" t="e">
        <f>#REF!</f>
        <v>#REF!</v>
      </c>
      <c r="N34" s="100" t="e">
        <f>#REF!</f>
        <v>#REF!</v>
      </c>
      <c r="O34" s="100" t="e">
        <f>#REF!</f>
        <v>#REF!</v>
      </c>
      <c r="P34" s="100" t="e">
        <f>#REF!</f>
        <v>#REF!</v>
      </c>
      <c r="Q34" s="100" t="e">
        <f>#REF!</f>
        <v>#REF!</v>
      </c>
      <c r="R34" s="100" t="e">
        <f>#REF!</f>
        <v>#REF!</v>
      </c>
      <c r="S34" s="100" t="e">
        <f>#REF!</f>
        <v>#REF!</v>
      </c>
      <c r="T34" s="100" t="e">
        <f>#REF!</f>
        <v>#REF!</v>
      </c>
      <c r="U34" s="100" t="e">
        <f>#REF!</f>
        <v>#REF!</v>
      </c>
      <c r="V34" s="100" t="e">
        <f>#REF!</f>
        <v>#REF!</v>
      </c>
      <c r="W34" s="100" t="e">
        <f>#REF!</f>
        <v>#REF!</v>
      </c>
      <c r="X34" s="100" t="e">
        <f>#REF!</f>
        <v>#REF!</v>
      </c>
      <c r="Y34" s="100" t="e">
        <f>#REF!</f>
        <v>#REF!</v>
      </c>
      <c r="Z34" s="100" t="e">
        <f>#REF!</f>
        <v>#REF!</v>
      </c>
      <c r="AA34" s="100" t="e">
        <f>#REF!</f>
        <v>#REF!</v>
      </c>
      <c r="AB34" s="100" t="e">
        <f>#REF!</f>
        <v>#REF!</v>
      </c>
      <c r="AC34" s="100" t="e">
        <f>#REF!</f>
        <v>#REF!</v>
      </c>
      <c r="AD34" s="100" t="e">
        <f>#REF!</f>
        <v>#REF!</v>
      </c>
      <c r="AE34" s="100" t="e">
        <f>#REF!</f>
        <v>#REF!</v>
      </c>
      <c r="AF34" s="100" t="e">
        <f>#REF!</f>
        <v>#REF!</v>
      </c>
    </row>
    <row r="35" spans="1:32" x14ac:dyDescent="0.35">
      <c r="A35">
        <v>34</v>
      </c>
      <c r="B35" t="s">
        <v>225</v>
      </c>
      <c r="C35" t="s">
        <v>102</v>
      </c>
      <c r="D35" t="s">
        <v>223</v>
      </c>
      <c r="E35" s="100" t="e">
        <f>#REF!</f>
        <v>#REF!</v>
      </c>
      <c r="F35" s="100" t="e">
        <f>#REF!</f>
        <v>#REF!</v>
      </c>
      <c r="G35" s="100" t="e">
        <f>#REF!</f>
        <v>#REF!</v>
      </c>
      <c r="H35" s="100" t="e">
        <f>#REF!</f>
        <v>#REF!</v>
      </c>
      <c r="I35" s="100" t="e">
        <f>#REF!</f>
        <v>#REF!</v>
      </c>
      <c r="J35" s="100" t="e">
        <f>#REF!</f>
        <v>#REF!</v>
      </c>
      <c r="K35" s="100" t="e">
        <f>#REF!</f>
        <v>#REF!</v>
      </c>
      <c r="L35" s="100" t="e">
        <f>#REF!</f>
        <v>#REF!</v>
      </c>
      <c r="M35" s="100" t="e">
        <f>#REF!</f>
        <v>#REF!</v>
      </c>
      <c r="N35" s="100" t="e">
        <f>#REF!</f>
        <v>#REF!</v>
      </c>
      <c r="O35" s="100" t="e">
        <f>#REF!</f>
        <v>#REF!</v>
      </c>
      <c r="P35" s="100" t="e">
        <f>#REF!</f>
        <v>#REF!</v>
      </c>
      <c r="Q35" s="100" t="e">
        <f>#REF!</f>
        <v>#REF!</v>
      </c>
      <c r="R35" s="100" t="e">
        <f>#REF!</f>
        <v>#REF!</v>
      </c>
      <c r="S35" s="100" t="e">
        <f>#REF!</f>
        <v>#REF!</v>
      </c>
      <c r="T35" s="100" t="e">
        <f>#REF!</f>
        <v>#REF!</v>
      </c>
      <c r="U35" s="100" t="e">
        <f>#REF!</f>
        <v>#REF!</v>
      </c>
      <c r="V35" s="100" t="e">
        <f>#REF!</f>
        <v>#REF!</v>
      </c>
      <c r="W35" s="100" t="e">
        <f>#REF!</f>
        <v>#REF!</v>
      </c>
      <c r="X35" s="100" t="e">
        <f>#REF!</f>
        <v>#REF!</v>
      </c>
      <c r="Y35" s="100" t="e">
        <f>#REF!</f>
        <v>#REF!</v>
      </c>
      <c r="Z35" s="100" t="e">
        <f>#REF!</f>
        <v>#REF!</v>
      </c>
      <c r="AA35" s="100" t="e">
        <f>#REF!</f>
        <v>#REF!</v>
      </c>
      <c r="AB35" s="100" t="e">
        <f>#REF!</f>
        <v>#REF!</v>
      </c>
      <c r="AC35" s="100" t="e">
        <f>#REF!</f>
        <v>#REF!</v>
      </c>
      <c r="AD35" s="100" t="e">
        <f>#REF!</f>
        <v>#REF!</v>
      </c>
      <c r="AE35" s="100" t="e">
        <f>#REF!</f>
        <v>#REF!</v>
      </c>
      <c r="AF35" s="100" t="e">
        <f>#REF!</f>
        <v>#REF!</v>
      </c>
    </row>
    <row r="36" spans="1:32" x14ac:dyDescent="0.35">
      <c r="A36">
        <v>35</v>
      </c>
      <c r="B36" t="s">
        <v>225</v>
      </c>
      <c r="C36" t="s">
        <v>102</v>
      </c>
      <c r="D36" t="s">
        <v>224</v>
      </c>
      <c r="E36" s="100" t="e">
        <f>#REF!</f>
        <v>#REF!</v>
      </c>
      <c r="F36" s="100" t="e">
        <f>#REF!</f>
        <v>#REF!</v>
      </c>
      <c r="G36" s="100" t="e">
        <f>#REF!</f>
        <v>#REF!</v>
      </c>
      <c r="H36" s="100" t="e">
        <f>#REF!</f>
        <v>#REF!</v>
      </c>
      <c r="I36" s="100" t="e">
        <f>#REF!</f>
        <v>#REF!</v>
      </c>
      <c r="J36" s="100" t="e">
        <f>#REF!</f>
        <v>#REF!</v>
      </c>
      <c r="K36" s="100" t="e">
        <f>#REF!</f>
        <v>#REF!</v>
      </c>
      <c r="L36" s="100" t="e">
        <f>#REF!</f>
        <v>#REF!</v>
      </c>
      <c r="M36" s="100" t="e">
        <f>#REF!</f>
        <v>#REF!</v>
      </c>
      <c r="N36" s="100" t="e">
        <f>#REF!</f>
        <v>#REF!</v>
      </c>
      <c r="O36" s="100" t="e">
        <f>#REF!</f>
        <v>#REF!</v>
      </c>
      <c r="P36" s="100" t="e">
        <f>#REF!</f>
        <v>#REF!</v>
      </c>
      <c r="Q36" s="100" t="e">
        <f>#REF!</f>
        <v>#REF!</v>
      </c>
      <c r="R36" s="100" t="e">
        <f>#REF!</f>
        <v>#REF!</v>
      </c>
      <c r="S36" s="100" t="e">
        <f>#REF!</f>
        <v>#REF!</v>
      </c>
      <c r="T36" s="100" t="e">
        <f>#REF!</f>
        <v>#REF!</v>
      </c>
      <c r="U36" s="100" t="e">
        <f>#REF!</f>
        <v>#REF!</v>
      </c>
      <c r="V36" s="100" t="e">
        <f>#REF!</f>
        <v>#REF!</v>
      </c>
      <c r="W36" s="100" t="e">
        <f>#REF!</f>
        <v>#REF!</v>
      </c>
      <c r="X36" s="100" t="e">
        <f>#REF!</f>
        <v>#REF!</v>
      </c>
      <c r="Y36" s="100" t="e">
        <f>#REF!</f>
        <v>#REF!</v>
      </c>
      <c r="Z36" s="100" t="e">
        <f>#REF!</f>
        <v>#REF!</v>
      </c>
      <c r="AA36" s="100" t="e">
        <f>#REF!</f>
        <v>#REF!</v>
      </c>
      <c r="AB36" s="100" t="e">
        <f>#REF!</f>
        <v>#REF!</v>
      </c>
      <c r="AC36" s="100" t="e">
        <f>#REF!</f>
        <v>#REF!</v>
      </c>
      <c r="AD36" s="100" t="e">
        <f>#REF!</f>
        <v>#REF!</v>
      </c>
      <c r="AE36" s="100" t="e">
        <f>#REF!</f>
        <v>#REF!</v>
      </c>
      <c r="AF36" s="100" t="e">
        <f>#REF!</f>
        <v>#REF!</v>
      </c>
    </row>
    <row r="37" spans="1:32" x14ac:dyDescent="0.35">
      <c r="A37">
        <v>36</v>
      </c>
      <c r="B37" t="s">
        <v>167</v>
      </c>
      <c r="C37" t="s">
        <v>275</v>
      </c>
      <c r="D37" t="s">
        <v>220</v>
      </c>
      <c r="E37" s="100" t="e">
        <f>#REF!</f>
        <v>#REF!</v>
      </c>
      <c r="F37" s="100" t="e">
        <f>#REF!</f>
        <v>#REF!</v>
      </c>
      <c r="G37" s="100" t="e">
        <f>#REF!</f>
        <v>#REF!</v>
      </c>
      <c r="H37" s="100" t="e">
        <f>#REF!</f>
        <v>#REF!</v>
      </c>
      <c r="I37" s="100" t="e">
        <f>#REF!</f>
        <v>#REF!</v>
      </c>
      <c r="J37" s="100" t="e">
        <f>#REF!</f>
        <v>#REF!</v>
      </c>
      <c r="K37" s="100" t="e">
        <f>#REF!</f>
        <v>#REF!</v>
      </c>
      <c r="L37" s="100" t="e">
        <f>#REF!</f>
        <v>#REF!</v>
      </c>
      <c r="M37" s="100" t="e">
        <f>#REF!</f>
        <v>#REF!</v>
      </c>
      <c r="N37" s="100" t="e">
        <f>#REF!</f>
        <v>#REF!</v>
      </c>
      <c r="O37" s="100" t="e">
        <f>#REF!</f>
        <v>#REF!</v>
      </c>
      <c r="P37" s="100" t="e">
        <f>#REF!</f>
        <v>#REF!</v>
      </c>
      <c r="Q37" s="100" t="e">
        <f>#REF!</f>
        <v>#REF!</v>
      </c>
      <c r="R37" s="100" t="e">
        <f>#REF!</f>
        <v>#REF!</v>
      </c>
      <c r="S37" s="100" t="e">
        <f>#REF!</f>
        <v>#REF!</v>
      </c>
      <c r="T37" s="100" t="e">
        <f>#REF!</f>
        <v>#REF!</v>
      </c>
      <c r="U37" s="100" t="e">
        <f>#REF!</f>
        <v>#REF!</v>
      </c>
      <c r="V37" s="100" t="e">
        <f>#REF!</f>
        <v>#REF!</v>
      </c>
      <c r="W37" s="100" t="e">
        <f>#REF!</f>
        <v>#REF!</v>
      </c>
      <c r="X37" s="100" t="e">
        <f>#REF!</f>
        <v>#REF!</v>
      </c>
      <c r="Y37" s="100" t="e">
        <f>#REF!</f>
        <v>#REF!</v>
      </c>
      <c r="Z37" s="100" t="e">
        <f>#REF!</f>
        <v>#REF!</v>
      </c>
      <c r="AA37" s="100" t="e">
        <f>#REF!</f>
        <v>#REF!</v>
      </c>
      <c r="AB37" s="100" t="e">
        <f>#REF!</f>
        <v>#REF!</v>
      </c>
      <c r="AC37" s="100" t="e">
        <f>#REF!</f>
        <v>#REF!</v>
      </c>
      <c r="AD37" s="100" t="e">
        <f>#REF!</f>
        <v>#REF!</v>
      </c>
      <c r="AE37" s="100" t="e">
        <f>#REF!</f>
        <v>#REF!</v>
      </c>
      <c r="AF37" s="100" t="e">
        <f>#REF!</f>
        <v>#REF!</v>
      </c>
    </row>
    <row r="38" spans="1:32" x14ac:dyDescent="0.35">
      <c r="A38">
        <v>37</v>
      </c>
      <c r="B38" t="s">
        <v>167</v>
      </c>
      <c r="C38" t="s">
        <v>275</v>
      </c>
      <c r="D38" t="s">
        <v>221</v>
      </c>
      <c r="E38" s="102"/>
      <c r="F38" s="102"/>
      <c r="G38" s="102"/>
      <c r="H38" s="102"/>
      <c r="I38" s="102"/>
      <c r="J38" s="102"/>
      <c r="K38" s="102"/>
      <c r="L38" s="102"/>
      <c r="M38" s="102"/>
      <c r="N38" s="102"/>
      <c r="O38" s="102"/>
      <c r="P38" s="102"/>
      <c r="Q38" s="102"/>
      <c r="R38" s="102"/>
      <c r="S38" s="102"/>
      <c r="T38" s="102"/>
      <c r="U38" s="102"/>
      <c r="V38" s="102"/>
      <c r="W38" s="102"/>
      <c r="X38" s="102"/>
      <c r="Y38" s="102"/>
      <c r="Z38" s="102"/>
      <c r="AA38" s="102"/>
      <c r="AB38" s="102"/>
      <c r="AC38" s="102"/>
      <c r="AD38" s="102"/>
      <c r="AE38" s="102"/>
      <c r="AF38" s="102"/>
    </row>
    <row r="39" spans="1:32" x14ac:dyDescent="0.35">
      <c r="A39">
        <v>38</v>
      </c>
      <c r="B39" t="s">
        <v>167</v>
      </c>
      <c r="C39" t="s">
        <v>275</v>
      </c>
      <c r="D39" t="s">
        <v>222</v>
      </c>
      <c r="E39" s="100" t="e">
        <f>#REF!</f>
        <v>#REF!</v>
      </c>
      <c r="F39" s="100" t="e">
        <f>#REF!</f>
        <v>#REF!</v>
      </c>
      <c r="G39" s="100" t="e">
        <f>#REF!</f>
        <v>#REF!</v>
      </c>
      <c r="H39" s="100" t="e">
        <f>#REF!</f>
        <v>#REF!</v>
      </c>
      <c r="I39" s="100" t="e">
        <f>#REF!</f>
        <v>#REF!</v>
      </c>
      <c r="J39" s="100" t="e">
        <f>#REF!</f>
        <v>#REF!</v>
      </c>
      <c r="K39" s="100" t="e">
        <f>#REF!</f>
        <v>#REF!</v>
      </c>
      <c r="L39" s="100" t="e">
        <f>#REF!</f>
        <v>#REF!</v>
      </c>
      <c r="M39" s="100" t="e">
        <f>#REF!</f>
        <v>#REF!</v>
      </c>
      <c r="N39" s="100" t="e">
        <f>#REF!</f>
        <v>#REF!</v>
      </c>
      <c r="O39" s="100" t="e">
        <f>#REF!</f>
        <v>#REF!</v>
      </c>
      <c r="P39" s="100" t="e">
        <f>#REF!</f>
        <v>#REF!</v>
      </c>
      <c r="Q39" s="100" t="e">
        <f>#REF!</f>
        <v>#REF!</v>
      </c>
      <c r="R39" s="100" t="e">
        <f>#REF!</f>
        <v>#REF!</v>
      </c>
      <c r="S39" s="100" t="e">
        <f>#REF!</f>
        <v>#REF!</v>
      </c>
      <c r="T39" s="100" t="e">
        <f>#REF!</f>
        <v>#REF!</v>
      </c>
      <c r="U39" s="100" t="e">
        <f>#REF!</f>
        <v>#REF!</v>
      </c>
      <c r="V39" s="100" t="e">
        <f>#REF!</f>
        <v>#REF!</v>
      </c>
      <c r="W39" s="100" t="e">
        <f>#REF!</f>
        <v>#REF!</v>
      </c>
      <c r="X39" s="100" t="e">
        <f>#REF!</f>
        <v>#REF!</v>
      </c>
      <c r="Y39" s="100" t="e">
        <f>#REF!</f>
        <v>#REF!</v>
      </c>
      <c r="Z39" s="100" t="e">
        <f>#REF!</f>
        <v>#REF!</v>
      </c>
      <c r="AA39" s="100" t="e">
        <f>#REF!</f>
        <v>#REF!</v>
      </c>
      <c r="AB39" s="100" t="e">
        <f>#REF!</f>
        <v>#REF!</v>
      </c>
      <c r="AC39" s="100" t="e">
        <f>#REF!</f>
        <v>#REF!</v>
      </c>
      <c r="AD39" s="100" t="e">
        <f>#REF!</f>
        <v>#REF!</v>
      </c>
      <c r="AE39" s="100" t="e">
        <f>#REF!</f>
        <v>#REF!</v>
      </c>
      <c r="AF39" s="100" t="e">
        <f>#REF!</f>
        <v>#REF!</v>
      </c>
    </row>
    <row r="40" spans="1:32" x14ac:dyDescent="0.35">
      <c r="A40">
        <v>39</v>
      </c>
      <c r="B40" t="s">
        <v>167</v>
      </c>
      <c r="C40" t="s">
        <v>275</v>
      </c>
      <c r="D40" t="s">
        <v>223</v>
      </c>
      <c r="E40" s="100" t="e">
        <f>#REF!</f>
        <v>#REF!</v>
      </c>
      <c r="F40" s="100" t="e">
        <f>#REF!</f>
        <v>#REF!</v>
      </c>
      <c r="G40" s="100" t="e">
        <f>#REF!</f>
        <v>#REF!</v>
      </c>
      <c r="H40" s="100" t="e">
        <f>#REF!</f>
        <v>#REF!</v>
      </c>
      <c r="I40" s="100" t="e">
        <f>#REF!</f>
        <v>#REF!</v>
      </c>
      <c r="J40" s="100" t="e">
        <f>#REF!</f>
        <v>#REF!</v>
      </c>
      <c r="K40" s="100" t="e">
        <f>#REF!</f>
        <v>#REF!</v>
      </c>
      <c r="L40" s="100" t="e">
        <f>#REF!</f>
        <v>#REF!</v>
      </c>
      <c r="M40" s="100" t="e">
        <f>#REF!</f>
        <v>#REF!</v>
      </c>
      <c r="N40" s="100" t="e">
        <f>#REF!</f>
        <v>#REF!</v>
      </c>
      <c r="O40" s="100" t="e">
        <f>#REF!</f>
        <v>#REF!</v>
      </c>
      <c r="P40" s="100" t="e">
        <f>#REF!</f>
        <v>#REF!</v>
      </c>
      <c r="Q40" s="100" t="e">
        <f>#REF!</f>
        <v>#REF!</v>
      </c>
      <c r="R40" s="100" t="e">
        <f>#REF!</f>
        <v>#REF!</v>
      </c>
      <c r="S40" s="100" t="e">
        <f>#REF!</f>
        <v>#REF!</v>
      </c>
      <c r="T40" s="100" t="e">
        <f>#REF!</f>
        <v>#REF!</v>
      </c>
      <c r="U40" s="100" t="e">
        <f>#REF!</f>
        <v>#REF!</v>
      </c>
      <c r="V40" s="100" t="e">
        <f>#REF!</f>
        <v>#REF!</v>
      </c>
      <c r="W40" s="100" t="e">
        <f>#REF!</f>
        <v>#REF!</v>
      </c>
      <c r="X40" s="100" t="e">
        <f>#REF!</f>
        <v>#REF!</v>
      </c>
      <c r="Y40" s="100" t="e">
        <f>#REF!</f>
        <v>#REF!</v>
      </c>
      <c r="Z40" s="100" t="e">
        <f>#REF!</f>
        <v>#REF!</v>
      </c>
      <c r="AA40" s="100" t="e">
        <f>#REF!</f>
        <v>#REF!</v>
      </c>
      <c r="AB40" s="100" t="e">
        <f>#REF!</f>
        <v>#REF!</v>
      </c>
      <c r="AC40" s="100" t="e">
        <f>#REF!</f>
        <v>#REF!</v>
      </c>
      <c r="AD40" s="100" t="e">
        <f>#REF!</f>
        <v>#REF!</v>
      </c>
      <c r="AE40" s="100" t="e">
        <f>#REF!</f>
        <v>#REF!</v>
      </c>
      <c r="AF40" s="100" t="e">
        <f>#REF!</f>
        <v>#REF!</v>
      </c>
    </row>
    <row r="41" spans="1:32" x14ac:dyDescent="0.35">
      <c r="A41">
        <v>40</v>
      </c>
      <c r="B41" t="s">
        <v>167</v>
      </c>
      <c r="C41" t="s">
        <v>275</v>
      </c>
      <c r="D41" t="s">
        <v>224</v>
      </c>
      <c r="E41" s="100" t="e">
        <f>#REF!</f>
        <v>#REF!</v>
      </c>
      <c r="F41" s="100" t="e">
        <f>#REF!</f>
        <v>#REF!</v>
      </c>
      <c r="G41" s="100" t="e">
        <f>#REF!</f>
        <v>#REF!</v>
      </c>
      <c r="H41" s="100" t="e">
        <f>#REF!</f>
        <v>#REF!</v>
      </c>
      <c r="I41" s="100" t="e">
        <f>#REF!</f>
        <v>#REF!</v>
      </c>
      <c r="J41" s="100" t="e">
        <f>#REF!</f>
        <v>#REF!</v>
      </c>
      <c r="K41" s="100" t="e">
        <f>#REF!</f>
        <v>#REF!</v>
      </c>
      <c r="L41" s="100" t="e">
        <f>#REF!</f>
        <v>#REF!</v>
      </c>
      <c r="M41" s="100" t="e">
        <f>#REF!</f>
        <v>#REF!</v>
      </c>
      <c r="N41" s="100" t="e">
        <f>#REF!</f>
        <v>#REF!</v>
      </c>
      <c r="O41" s="100" t="e">
        <f>#REF!</f>
        <v>#REF!</v>
      </c>
      <c r="P41" s="100" t="e">
        <f>#REF!</f>
        <v>#REF!</v>
      </c>
      <c r="Q41" s="100" t="e">
        <f>#REF!</f>
        <v>#REF!</v>
      </c>
      <c r="R41" s="100" t="e">
        <f>#REF!</f>
        <v>#REF!</v>
      </c>
      <c r="S41" s="100" t="e">
        <f>#REF!</f>
        <v>#REF!</v>
      </c>
      <c r="T41" s="100" t="e">
        <f>#REF!</f>
        <v>#REF!</v>
      </c>
      <c r="U41" s="100" t="e">
        <f>#REF!</f>
        <v>#REF!</v>
      </c>
      <c r="V41" s="100" t="e">
        <f>#REF!</f>
        <v>#REF!</v>
      </c>
      <c r="W41" s="100" t="e">
        <f>#REF!</f>
        <v>#REF!</v>
      </c>
      <c r="X41" s="100" t="e">
        <f>#REF!</f>
        <v>#REF!</v>
      </c>
      <c r="Y41" s="100" t="e">
        <f>#REF!</f>
        <v>#REF!</v>
      </c>
      <c r="Z41" s="100" t="e">
        <f>#REF!</f>
        <v>#REF!</v>
      </c>
      <c r="AA41" s="100" t="e">
        <f>#REF!</f>
        <v>#REF!</v>
      </c>
      <c r="AB41" s="100" t="e">
        <f>#REF!</f>
        <v>#REF!</v>
      </c>
      <c r="AC41" s="100" t="e">
        <f>#REF!</f>
        <v>#REF!</v>
      </c>
      <c r="AD41" s="100" t="e">
        <f>#REF!</f>
        <v>#REF!</v>
      </c>
      <c r="AE41" s="100" t="e">
        <f>#REF!</f>
        <v>#REF!</v>
      </c>
      <c r="AF41" s="100" t="e">
        <f>#REF!</f>
        <v>#REF!</v>
      </c>
    </row>
    <row r="42" spans="1:32" x14ac:dyDescent="0.35">
      <c r="A42">
        <v>41</v>
      </c>
      <c r="B42" t="s">
        <v>167</v>
      </c>
      <c r="C42" t="s">
        <v>276</v>
      </c>
      <c r="D42" t="s">
        <v>220</v>
      </c>
      <c r="E42" s="100" t="e">
        <f>#REF!</f>
        <v>#REF!</v>
      </c>
      <c r="F42" s="100" t="e">
        <f>#REF!</f>
        <v>#REF!</v>
      </c>
      <c r="G42" s="100" t="e">
        <f>#REF!</f>
        <v>#REF!</v>
      </c>
      <c r="H42" s="100" t="e">
        <f>#REF!</f>
        <v>#REF!</v>
      </c>
      <c r="I42" s="100" t="e">
        <f>#REF!</f>
        <v>#REF!</v>
      </c>
      <c r="J42" s="100" t="e">
        <f>#REF!</f>
        <v>#REF!</v>
      </c>
      <c r="K42" s="100" t="e">
        <f>#REF!</f>
        <v>#REF!</v>
      </c>
      <c r="L42" s="100" t="e">
        <f>#REF!</f>
        <v>#REF!</v>
      </c>
      <c r="M42" s="100" t="e">
        <f>#REF!</f>
        <v>#REF!</v>
      </c>
      <c r="N42" s="100" t="e">
        <f>#REF!</f>
        <v>#REF!</v>
      </c>
      <c r="O42" s="100" t="e">
        <f>#REF!</f>
        <v>#REF!</v>
      </c>
      <c r="P42" s="100" t="e">
        <f>#REF!</f>
        <v>#REF!</v>
      </c>
      <c r="Q42" s="100" t="e">
        <f>#REF!</f>
        <v>#REF!</v>
      </c>
      <c r="R42" s="100" t="e">
        <f>#REF!</f>
        <v>#REF!</v>
      </c>
      <c r="S42" s="100" t="e">
        <f>#REF!</f>
        <v>#REF!</v>
      </c>
      <c r="T42" s="100" t="e">
        <f>#REF!</f>
        <v>#REF!</v>
      </c>
      <c r="U42" s="100" t="e">
        <f>#REF!</f>
        <v>#REF!</v>
      </c>
      <c r="V42" s="100" t="e">
        <f>#REF!</f>
        <v>#REF!</v>
      </c>
      <c r="W42" s="100" t="e">
        <f>#REF!</f>
        <v>#REF!</v>
      </c>
      <c r="X42" s="100" t="e">
        <f>#REF!</f>
        <v>#REF!</v>
      </c>
      <c r="Y42" s="100" t="e">
        <f>#REF!</f>
        <v>#REF!</v>
      </c>
      <c r="Z42" s="100" t="e">
        <f>#REF!</f>
        <v>#REF!</v>
      </c>
      <c r="AA42" s="100" t="e">
        <f>#REF!</f>
        <v>#REF!</v>
      </c>
      <c r="AB42" s="100" t="e">
        <f>#REF!</f>
        <v>#REF!</v>
      </c>
      <c r="AC42" s="100" t="e">
        <f>#REF!</f>
        <v>#REF!</v>
      </c>
      <c r="AD42" s="100" t="e">
        <f>#REF!</f>
        <v>#REF!</v>
      </c>
      <c r="AE42" s="100" t="e">
        <f>#REF!</f>
        <v>#REF!</v>
      </c>
      <c r="AF42" s="100" t="e">
        <f>#REF!</f>
        <v>#REF!</v>
      </c>
    </row>
    <row r="43" spans="1:32" x14ac:dyDescent="0.35">
      <c r="A43">
        <v>42</v>
      </c>
      <c r="B43" t="s">
        <v>167</v>
      </c>
      <c r="C43" t="s">
        <v>276</v>
      </c>
      <c r="D43" t="s">
        <v>221</v>
      </c>
      <c r="E43" s="102"/>
      <c r="F43" s="102"/>
      <c r="G43" s="102"/>
      <c r="H43" s="102"/>
      <c r="I43" s="102"/>
      <c r="J43" s="102"/>
      <c r="K43" s="102"/>
      <c r="L43" s="102"/>
      <c r="M43" s="102"/>
      <c r="N43" s="102"/>
      <c r="O43" s="102"/>
      <c r="P43" s="102"/>
      <c r="Q43" s="102"/>
      <c r="R43" s="102"/>
      <c r="S43" s="102"/>
      <c r="T43" s="102"/>
      <c r="U43" s="102"/>
      <c r="V43" s="102"/>
      <c r="W43" s="102"/>
      <c r="X43" s="102"/>
      <c r="Y43" s="102"/>
      <c r="Z43" s="102"/>
      <c r="AA43" s="102"/>
      <c r="AB43" s="102"/>
      <c r="AC43" s="102"/>
      <c r="AD43" s="102"/>
      <c r="AE43" s="102"/>
      <c r="AF43" s="102"/>
    </row>
    <row r="44" spans="1:32" x14ac:dyDescent="0.35">
      <c r="A44">
        <v>43</v>
      </c>
      <c r="B44" t="s">
        <v>167</v>
      </c>
      <c r="C44" t="s">
        <v>276</v>
      </c>
      <c r="D44" t="s">
        <v>222</v>
      </c>
      <c r="E44" s="100" t="e">
        <f>#REF!</f>
        <v>#REF!</v>
      </c>
      <c r="F44" s="100" t="e">
        <f>#REF!</f>
        <v>#REF!</v>
      </c>
      <c r="G44" s="100" t="e">
        <f>#REF!</f>
        <v>#REF!</v>
      </c>
      <c r="H44" s="100" t="e">
        <f>#REF!</f>
        <v>#REF!</v>
      </c>
      <c r="I44" s="100" t="e">
        <f>#REF!</f>
        <v>#REF!</v>
      </c>
      <c r="J44" s="100" t="e">
        <f>#REF!</f>
        <v>#REF!</v>
      </c>
      <c r="K44" s="100" t="e">
        <f>#REF!</f>
        <v>#REF!</v>
      </c>
      <c r="L44" s="100" t="e">
        <f>#REF!</f>
        <v>#REF!</v>
      </c>
      <c r="M44" s="100" t="e">
        <f>#REF!</f>
        <v>#REF!</v>
      </c>
      <c r="N44" s="100" t="e">
        <f>#REF!</f>
        <v>#REF!</v>
      </c>
      <c r="O44" s="100" t="e">
        <f>#REF!</f>
        <v>#REF!</v>
      </c>
      <c r="P44" s="100" t="e">
        <f>#REF!</f>
        <v>#REF!</v>
      </c>
      <c r="Q44" s="100" t="e">
        <f>#REF!</f>
        <v>#REF!</v>
      </c>
      <c r="R44" s="100" t="e">
        <f>#REF!</f>
        <v>#REF!</v>
      </c>
      <c r="S44" s="100" t="e">
        <f>#REF!</f>
        <v>#REF!</v>
      </c>
      <c r="T44" s="100" t="e">
        <f>#REF!</f>
        <v>#REF!</v>
      </c>
      <c r="U44" s="100" t="e">
        <f>#REF!</f>
        <v>#REF!</v>
      </c>
      <c r="V44" s="100" t="e">
        <f>#REF!</f>
        <v>#REF!</v>
      </c>
      <c r="W44" s="100" t="e">
        <f>#REF!</f>
        <v>#REF!</v>
      </c>
      <c r="X44" s="100" t="e">
        <f>#REF!</f>
        <v>#REF!</v>
      </c>
      <c r="Y44" s="100" t="e">
        <f>#REF!</f>
        <v>#REF!</v>
      </c>
      <c r="Z44" s="100" t="e">
        <f>#REF!</f>
        <v>#REF!</v>
      </c>
      <c r="AA44" s="100" t="e">
        <f>#REF!</f>
        <v>#REF!</v>
      </c>
      <c r="AB44" s="100" t="e">
        <f>#REF!</f>
        <v>#REF!</v>
      </c>
      <c r="AC44" s="100" t="e">
        <f>#REF!</f>
        <v>#REF!</v>
      </c>
      <c r="AD44" s="100" t="e">
        <f>#REF!</f>
        <v>#REF!</v>
      </c>
      <c r="AE44" s="100" t="e">
        <f>#REF!</f>
        <v>#REF!</v>
      </c>
      <c r="AF44" s="100" t="e">
        <f>#REF!</f>
        <v>#REF!</v>
      </c>
    </row>
    <row r="45" spans="1:32" x14ac:dyDescent="0.35">
      <c r="A45">
        <v>44</v>
      </c>
      <c r="B45" t="s">
        <v>167</v>
      </c>
      <c r="C45" t="s">
        <v>276</v>
      </c>
      <c r="D45" t="s">
        <v>223</v>
      </c>
      <c r="E45" s="100" t="e">
        <f>#REF!</f>
        <v>#REF!</v>
      </c>
      <c r="F45" s="100" t="e">
        <f>#REF!</f>
        <v>#REF!</v>
      </c>
      <c r="G45" s="100" t="e">
        <f>#REF!</f>
        <v>#REF!</v>
      </c>
      <c r="H45" s="100" t="e">
        <f>#REF!</f>
        <v>#REF!</v>
      </c>
      <c r="I45" s="100" t="e">
        <f>#REF!</f>
        <v>#REF!</v>
      </c>
      <c r="J45" s="100" t="e">
        <f>#REF!</f>
        <v>#REF!</v>
      </c>
      <c r="K45" s="100" t="e">
        <f>#REF!</f>
        <v>#REF!</v>
      </c>
      <c r="L45" s="100" t="e">
        <f>#REF!</f>
        <v>#REF!</v>
      </c>
      <c r="M45" s="100" t="e">
        <f>#REF!</f>
        <v>#REF!</v>
      </c>
      <c r="N45" s="100" t="e">
        <f>#REF!</f>
        <v>#REF!</v>
      </c>
      <c r="O45" s="100" t="e">
        <f>#REF!</f>
        <v>#REF!</v>
      </c>
      <c r="P45" s="100" t="e">
        <f>#REF!</f>
        <v>#REF!</v>
      </c>
      <c r="Q45" s="100" t="e">
        <f>#REF!</f>
        <v>#REF!</v>
      </c>
      <c r="R45" s="100" t="e">
        <f>#REF!</f>
        <v>#REF!</v>
      </c>
      <c r="S45" s="100" t="e">
        <f>#REF!</f>
        <v>#REF!</v>
      </c>
      <c r="T45" s="100" t="e">
        <f>#REF!</f>
        <v>#REF!</v>
      </c>
      <c r="U45" s="100" t="e">
        <f>#REF!</f>
        <v>#REF!</v>
      </c>
      <c r="V45" s="100" t="e">
        <f>#REF!</f>
        <v>#REF!</v>
      </c>
      <c r="W45" s="100" t="e">
        <f>#REF!</f>
        <v>#REF!</v>
      </c>
      <c r="X45" s="100" t="e">
        <f>#REF!</f>
        <v>#REF!</v>
      </c>
      <c r="Y45" s="100" t="e">
        <f>#REF!</f>
        <v>#REF!</v>
      </c>
      <c r="Z45" s="100" t="e">
        <f>#REF!</f>
        <v>#REF!</v>
      </c>
      <c r="AA45" s="100" t="e">
        <f>#REF!</f>
        <v>#REF!</v>
      </c>
      <c r="AB45" s="100" t="e">
        <f>#REF!</f>
        <v>#REF!</v>
      </c>
      <c r="AC45" s="100" t="e">
        <f>#REF!</f>
        <v>#REF!</v>
      </c>
      <c r="AD45" s="100" t="e">
        <f>#REF!</f>
        <v>#REF!</v>
      </c>
      <c r="AE45" s="100" t="e">
        <f>#REF!</f>
        <v>#REF!</v>
      </c>
      <c r="AF45" s="100" t="e">
        <f>#REF!</f>
        <v>#REF!</v>
      </c>
    </row>
    <row r="46" spans="1:32" x14ac:dyDescent="0.35">
      <c r="A46">
        <v>45</v>
      </c>
      <c r="B46" t="s">
        <v>167</v>
      </c>
      <c r="C46" t="s">
        <v>276</v>
      </c>
      <c r="D46" t="s">
        <v>224</v>
      </c>
      <c r="E46" s="100" t="e">
        <f>#REF!</f>
        <v>#REF!</v>
      </c>
      <c r="F46" s="100" t="e">
        <f>#REF!</f>
        <v>#REF!</v>
      </c>
      <c r="G46" s="100" t="e">
        <f>#REF!</f>
        <v>#REF!</v>
      </c>
      <c r="H46" s="100" t="e">
        <f>#REF!</f>
        <v>#REF!</v>
      </c>
      <c r="I46" s="100" t="e">
        <f>#REF!</f>
        <v>#REF!</v>
      </c>
      <c r="J46" s="100" t="e">
        <f>#REF!</f>
        <v>#REF!</v>
      </c>
      <c r="K46" s="100" t="e">
        <f>#REF!</f>
        <v>#REF!</v>
      </c>
      <c r="L46" s="100" t="e">
        <f>#REF!</f>
        <v>#REF!</v>
      </c>
      <c r="M46" s="100" t="e">
        <f>#REF!</f>
        <v>#REF!</v>
      </c>
      <c r="N46" s="100" t="e">
        <f>#REF!</f>
        <v>#REF!</v>
      </c>
      <c r="O46" s="100" t="e">
        <f>#REF!</f>
        <v>#REF!</v>
      </c>
      <c r="P46" s="100" t="e">
        <f>#REF!</f>
        <v>#REF!</v>
      </c>
      <c r="Q46" s="100" t="e">
        <f>#REF!</f>
        <v>#REF!</v>
      </c>
      <c r="R46" s="100" t="e">
        <f>#REF!</f>
        <v>#REF!</v>
      </c>
      <c r="S46" s="100" t="e">
        <f>#REF!</f>
        <v>#REF!</v>
      </c>
      <c r="T46" s="100" t="e">
        <f>#REF!</f>
        <v>#REF!</v>
      </c>
      <c r="U46" s="100" t="e">
        <f>#REF!</f>
        <v>#REF!</v>
      </c>
      <c r="V46" s="100" t="e">
        <f>#REF!</f>
        <v>#REF!</v>
      </c>
      <c r="W46" s="100" t="e">
        <f>#REF!</f>
        <v>#REF!</v>
      </c>
      <c r="X46" s="100" t="e">
        <f>#REF!</f>
        <v>#REF!</v>
      </c>
      <c r="Y46" s="100" t="e">
        <f>#REF!</f>
        <v>#REF!</v>
      </c>
      <c r="Z46" s="100" t="e">
        <f>#REF!</f>
        <v>#REF!</v>
      </c>
      <c r="AA46" s="100" t="e">
        <f>#REF!</f>
        <v>#REF!</v>
      </c>
      <c r="AB46" s="100" t="e">
        <f>#REF!</f>
        <v>#REF!</v>
      </c>
      <c r="AC46" s="100" t="e">
        <f>#REF!</f>
        <v>#REF!</v>
      </c>
      <c r="AD46" s="100" t="e">
        <f>#REF!</f>
        <v>#REF!</v>
      </c>
      <c r="AE46" s="100" t="e">
        <f>#REF!</f>
        <v>#REF!</v>
      </c>
      <c r="AF46" s="100" t="e">
        <f>#REF!</f>
        <v>#REF!</v>
      </c>
    </row>
    <row r="47" spans="1:32" x14ac:dyDescent="0.35">
      <c r="A47">
        <v>46</v>
      </c>
      <c r="B47" t="s">
        <v>167</v>
      </c>
      <c r="C47" t="s">
        <v>102</v>
      </c>
      <c r="D47" t="s">
        <v>220</v>
      </c>
      <c r="E47" s="100" t="e">
        <f>#REF!</f>
        <v>#REF!</v>
      </c>
      <c r="F47" s="100" t="e">
        <f>#REF!</f>
        <v>#REF!</v>
      </c>
      <c r="G47" s="100" t="e">
        <f>#REF!</f>
        <v>#REF!</v>
      </c>
      <c r="H47" s="100" t="e">
        <f>#REF!</f>
        <v>#REF!</v>
      </c>
      <c r="I47" s="100" t="e">
        <f>#REF!</f>
        <v>#REF!</v>
      </c>
      <c r="J47" s="100" t="e">
        <f>#REF!</f>
        <v>#REF!</v>
      </c>
      <c r="K47" s="100" t="e">
        <f>#REF!</f>
        <v>#REF!</v>
      </c>
      <c r="L47" s="100" t="e">
        <f>#REF!</f>
        <v>#REF!</v>
      </c>
      <c r="M47" s="100" t="e">
        <f>#REF!</f>
        <v>#REF!</v>
      </c>
      <c r="N47" s="100" t="e">
        <f>#REF!</f>
        <v>#REF!</v>
      </c>
      <c r="O47" s="100" t="e">
        <f>#REF!</f>
        <v>#REF!</v>
      </c>
      <c r="P47" s="100" t="e">
        <f>#REF!</f>
        <v>#REF!</v>
      </c>
      <c r="Q47" s="100" t="e">
        <f>#REF!</f>
        <v>#REF!</v>
      </c>
      <c r="R47" s="100" t="e">
        <f>#REF!</f>
        <v>#REF!</v>
      </c>
      <c r="S47" s="100" t="e">
        <f>#REF!</f>
        <v>#REF!</v>
      </c>
      <c r="T47" s="100" t="e">
        <f>#REF!</f>
        <v>#REF!</v>
      </c>
      <c r="U47" s="100" t="e">
        <f>#REF!</f>
        <v>#REF!</v>
      </c>
      <c r="V47" s="100" t="e">
        <f>#REF!</f>
        <v>#REF!</v>
      </c>
      <c r="W47" s="100" t="e">
        <f>#REF!</f>
        <v>#REF!</v>
      </c>
      <c r="X47" s="100" t="e">
        <f>#REF!</f>
        <v>#REF!</v>
      </c>
      <c r="Y47" s="100" t="e">
        <f>#REF!</f>
        <v>#REF!</v>
      </c>
      <c r="Z47" s="100" t="e">
        <f>#REF!</f>
        <v>#REF!</v>
      </c>
      <c r="AA47" s="100" t="e">
        <f>#REF!</f>
        <v>#REF!</v>
      </c>
      <c r="AB47" s="100" t="e">
        <f>#REF!</f>
        <v>#REF!</v>
      </c>
      <c r="AC47" s="100" t="e">
        <f>#REF!</f>
        <v>#REF!</v>
      </c>
      <c r="AD47" s="100" t="e">
        <f>#REF!</f>
        <v>#REF!</v>
      </c>
      <c r="AE47" s="100" t="e">
        <f>#REF!</f>
        <v>#REF!</v>
      </c>
      <c r="AF47" s="100" t="e">
        <f>#REF!</f>
        <v>#REF!</v>
      </c>
    </row>
    <row r="48" spans="1:32" x14ac:dyDescent="0.35">
      <c r="A48">
        <v>47</v>
      </c>
      <c r="B48" t="s">
        <v>167</v>
      </c>
      <c r="C48" t="s">
        <v>102</v>
      </c>
      <c r="D48" t="s">
        <v>221</v>
      </c>
      <c r="E48" s="102"/>
      <c r="F48" s="102"/>
      <c r="G48" s="102"/>
      <c r="H48" s="102"/>
      <c r="I48" s="102"/>
      <c r="J48" s="102"/>
      <c r="K48" s="102"/>
      <c r="L48" s="102"/>
      <c r="M48" s="102"/>
      <c r="N48" s="102"/>
      <c r="O48" s="102"/>
      <c r="P48" s="102"/>
      <c r="Q48" s="102"/>
      <c r="R48" s="102"/>
      <c r="S48" s="102"/>
      <c r="T48" s="102"/>
      <c r="U48" s="102"/>
      <c r="V48" s="102"/>
      <c r="W48" s="102"/>
      <c r="X48" s="102"/>
      <c r="Y48" s="102"/>
      <c r="Z48" s="102"/>
      <c r="AA48" s="102"/>
      <c r="AB48" s="102"/>
      <c r="AC48" s="102"/>
      <c r="AD48" s="102"/>
      <c r="AE48" s="102"/>
      <c r="AF48" s="102"/>
    </row>
    <row r="49" spans="1:32" x14ac:dyDescent="0.35">
      <c r="A49">
        <v>48</v>
      </c>
      <c r="B49" t="s">
        <v>167</v>
      </c>
      <c r="C49" t="s">
        <v>102</v>
      </c>
      <c r="D49" t="s">
        <v>222</v>
      </c>
      <c r="E49" s="100" t="e">
        <f>#REF!</f>
        <v>#REF!</v>
      </c>
      <c r="F49" s="100" t="e">
        <f>#REF!</f>
        <v>#REF!</v>
      </c>
      <c r="G49" s="100" t="e">
        <f>#REF!</f>
        <v>#REF!</v>
      </c>
      <c r="H49" s="100" t="e">
        <f>#REF!</f>
        <v>#REF!</v>
      </c>
      <c r="I49" s="100" t="e">
        <f>#REF!</f>
        <v>#REF!</v>
      </c>
      <c r="J49" s="100" t="e">
        <f>#REF!</f>
        <v>#REF!</v>
      </c>
      <c r="K49" s="100" t="e">
        <f>#REF!</f>
        <v>#REF!</v>
      </c>
      <c r="L49" s="100" t="e">
        <f>#REF!</f>
        <v>#REF!</v>
      </c>
      <c r="M49" s="100" t="e">
        <f>#REF!</f>
        <v>#REF!</v>
      </c>
      <c r="N49" s="100" t="e">
        <f>#REF!</f>
        <v>#REF!</v>
      </c>
      <c r="O49" s="100" t="e">
        <f>#REF!</f>
        <v>#REF!</v>
      </c>
      <c r="P49" s="100" t="e">
        <f>#REF!</f>
        <v>#REF!</v>
      </c>
      <c r="Q49" s="100" t="e">
        <f>#REF!</f>
        <v>#REF!</v>
      </c>
      <c r="R49" s="100" t="e">
        <f>#REF!</f>
        <v>#REF!</v>
      </c>
      <c r="S49" s="100" t="e">
        <f>#REF!</f>
        <v>#REF!</v>
      </c>
      <c r="T49" s="100" t="e">
        <f>#REF!</f>
        <v>#REF!</v>
      </c>
      <c r="U49" s="100" t="e">
        <f>#REF!</f>
        <v>#REF!</v>
      </c>
      <c r="V49" s="100" t="e">
        <f>#REF!</f>
        <v>#REF!</v>
      </c>
      <c r="W49" s="100" t="e">
        <f>#REF!</f>
        <v>#REF!</v>
      </c>
      <c r="X49" s="100" t="e">
        <f>#REF!</f>
        <v>#REF!</v>
      </c>
      <c r="Y49" s="100" t="e">
        <f>#REF!</f>
        <v>#REF!</v>
      </c>
      <c r="Z49" s="100" t="e">
        <f>#REF!</f>
        <v>#REF!</v>
      </c>
      <c r="AA49" s="100" t="e">
        <f>#REF!</f>
        <v>#REF!</v>
      </c>
      <c r="AB49" s="100" t="e">
        <f>#REF!</f>
        <v>#REF!</v>
      </c>
      <c r="AC49" s="100" t="e">
        <f>#REF!</f>
        <v>#REF!</v>
      </c>
      <c r="AD49" s="100" t="e">
        <f>#REF!</f>
        <v>#REF!</v>
      </c>
      <c r="AE49" s="100" t="e">
        <f>#REF!</f>
        <v>#REF!</v>
      </c>
      <c r="AF49" s="100" t="e">
        <f>#REF!</f>
        <v>#REF!</v>
      </c>
    </row>
    <row r="50" spans="1:32" x14ac:dyDescent="0.35">
      <c r="A50">
        <v>49</v>
      </c>
      <c r="B50" t="s">
        <v>167</v>
      </c>
      <c r="C50" t="s">
        <v>102</v>
      </c>
      <c r="D50" t="s">
        <v>223</v>
      </c>
      <c r="E50" s="100" t="e">
        <f>#REF!</f>
        <v>#REF!</v>
      </c>
      <c r="F50" s="100" t="e">
        <f>#REF!</f>
        <v>#REF!</v>
      </c>
      <c r="G50" s="100" t="e">
        <f>#REF!</f>
        <v>#REF!</v>
      </c>
      <c r="H50" s="100" t="e">
        <f>#REF!</f>
        <v>#REF!</v>
      </c>
      <c r="I50" s="100" t="e">
        <f>#REF!</f>
        <v>#REF!</v>
      </c>
      <c r="J50" s="100" t="e">
        <f>#REF!</f>
        <v>#REF!</v>
      </c>
      <c r="K50" s="100" t="e">
        <f>#REF!</f>
        <v>#REF!</v>
      </c>
      <c r="L50" s="100" t="e">
        <f>#REF!</f>
        <v>#REF!</v>
      </c>
      <c r="M50" s="100" t="e">
        <f>#REF!</f>
        <v>#REF!</v>
      </c>
      <c r="N50" s="100" t="e">
        <f>#REF!</f>
        <v>#REF!</v>
      </c>
      <c r="O50" s="100" t="e">
        <f>#REF!</f>
        <v>#REF!</v>
      </c>
      <c r="P50" s="100" t="e">
        <f>#REF!</f>
        <v>#REF!</v>
      </c>
      <c r="Q50" s="100" t="e">
        <f>#REF!</f>
        <v>#REF!</v>
      </c>
      <c r="R50" s="100" t="e">
        <f>#REF!</f>
        <v>#REF!</v>
      </c>
      <c r="S50" s="100" t="e">
        <f>#REF!</f>
        <v>#REF!</v>
      </c>
      <c r="T50" s="100" t="e">
        <f>#REF!</f>
        <v>#REF!</v>
      </c>
      <c r="U50" s="100" t="e">
        <f>#REF!</f>
        <v>#REF!</v>
      </c>
      <c r="V50" s="100" t="e">
        <f>#REF!</f>
        <v>#REF!</v>
      </c>
      <c r="W50" s="100" t="e">
        <f>#REF!</f>
        <v>#REF!</v>
      </c>
      <c r="X50" s="100" t="e">
        <f>#REF!</f>
        <v>#REF!</v>
      </c>
      <c r="Y50" s="100" t="e">
        <f>#REF!</f>
        <v>#REF!</v>
      </c>
      <c r="Z50" s="100" t="e">
        <f>#REF!</f>
        <v>#REF!</v>
      </c>
      <c r="AA50" s="100" t="e">
        <f>#REF!</f>
        <v>#REF!</v>
      </c>
      <c r="AB50" s="100" t="e">
        <f>#REF!</f>
        <v>#REF!</v>
      </c>
      <c r="AC50" s="100" t="e">
        <f>#REF!</f>
        <v>#REF!</v>
      </c>
      <c r="AD50" s="100" t="e">
        <f>#REF!</f>
        <v>#REF!</v>
      </c>
      <c r="AE50" s="100" t="e">
        <f>#REF!</f>
        <v>#REF!</v>
      </c>
      <c r="AF50" s="100" t="e">
        <f>#REF!</f>
        <v>#REF!</v>
      </c>
    </row>
    <row r="51" spans="1:32" x14ac:dyDescent="0.35">
      <c r="A51">
        <v>50</v>
      </c>
      <c r="B51" t="s">
        <v>167</v>
      </c>
      <c r="C51" t="s">
        <v>102</v>
      </c>
      <c r="D51" t="s">
        <v>224</v>
      </c>
      <c r="E51" s="100" t="e">
        <f>#REF!</f>
        <v>#REF!</v>
      </c>
      <c r="F51" s="100" t="e">
        <f>#REF!</f>
        <v>#REF!</v>
      </c>
      <c r="G51" s="100" t="e">
        <f>#REF!</f>
        <v>#REF!</v>
      </c>
      <c r="H51" s="100" t="e">
        <f>#REF!</f>
        <v>#REF!</v>
      </c>
      <c r="I51" s="100" t="e">
        <f>#REF!</f>
        <v>#REF!</v>
      </c>
      <c r="J51" s="100" t="e">
        <f>#REF!</f>
        <v>#REF!</v>
      </c>
      <c r="K51" s="100" t="e">
        <f>#REF!</f>
        <v>#REF!</v>
      </c>
      <c r="L51" s="100" t="e">
        <f>#REF!</f>
        <v>#REF!</v>
      </c>
      <c r="M51" s="100" t="e">
        <f>#REF!</f>
        <v>#REF!</v>
      </c>
      <c r="N51" s="100" t="e">
        <f>#REF!</f>
        <v>#REF!</v>
      </c>
      <c r="O51" s="100" t="e">
        <f>#REF!</f>
        <v>#REF!</v>
      </c>
      <c r="P51" s="100" t="e">
        <f>#REF!</f>
        <v>#REF!</v>
      </c>
      <c r="Q51" s="100" t="e">
        <f>#REF!</f>
        <v>#REF!</v>
      </c>
      <c r="R51" s="100" t="e">
        <f>#REF!</f>
        <v>#REF!</v>
      </c>
      <c r="S51" s="100" t="e">
        <f>#REF!</f>
        <v>#REF!</v>
      </c>
      <c r="T51" s="100" t="e">
        <f>#REF!</f>
        <v>#REF!</v>
      </c>
      <c r="U51" s="100" t="e">
        <f>#REF!</f>
        <v>#REF!</v>
      </c>
      <c r="V51" s="100" t="e">
        <f>#REF!</f>
        <v>#REF!</v>
      </c>
      <c r="W51" s="100" t="e">
        <f>#REF!</f>
        <v>#REF!</v>
      </c>
      <c r="X51" s="100" t="e">
        <f>#REF!</f>
        <v>#REF!</v>
      </c>
      <c r="Y51" s="100" t="e">
        <f>#REF!</f>
        <v>#REF!</v>
      </c>
      <c r="Z51" s="100" t="e">
        <f>#REF!</f>
        <v>#REF!</v>
      </c>
      <c r="AA51" s="100" t="e">
        <f>#REF!</f>
        <v>#REF!</v>
      </c>
      <c r="AB51" s="100" t="e">
        <f>#REF!</f>
        <v>#REF!</v>
      </c>
      <c r="AC51" s="100" t="e">
        <f>#REF!</f>
        <v>#REF!</v>
      </c>
      <c r="AD51" s="100" t="e">
        <f>#REF!</f>
        <v>#REF!</v>
      </c>
      <c r="AE51" s="100" t="e">
        <f>#REF!</f>
        <v>#REF!</v>
      </c>
      <c r="AF51" s="100" t="e">
        <f>#REF!</f>
        <v>#REF!</v>
      </c>
    </row>
    <row r="52" spans="1:32" x14ac:dyDescent="0.35">
      <c r="A52">
        <v>51</v>
      </c>
      <c r="B52" t="s">
        <v>167</v>
      </c>
      <c r="C52" t="s">
        <v>185</v>
      </c>
      <c r="D52" t="s">
        <v>220</v>
      </c>
      <c r="E52" s="100" t="e">
        <f>#REF!</f>
        <v>#REF!</v>
      </c>
      <c r="F52" s="100" t="e">
        <f>#REF!</f>
        <v>#REF!</v>
      </c>
      <c r="G52" s="100" t="e">
        <f>#REF!</f>
        <v>#REF!</v>
      </c>
      <c r="H52" s="100" t="e">
        <f>#REF!</f>
        <v>#REF!</v>
      </c>
      <c r="I52" s="100" t="e">
        <f>#REF!</f>
        <v>#REF!</v>
      </c>
      <c r="J52" s="100" t="e">
        <f>#REF!</f>
        <v>#REF!</v>
      </c>
      <c r="K52" s="100" t="e">
        <f>#REF!</f>
        <v>#REF!</v>
      </c>
      <c r="L52" s="100" t="e">
        <f>#REF!</f>
        <v>#REF!</v>
      </c>
      <c r="M52" s="100" t="e">
        <f>#REF!</f>
        <v>#REF!</v>
      </c>
      <c r="N52" s="100" t="e">
        <f>#REF!</f>
        <v>#REF!</v>
      </c>
      <c r="O52" s="100" t="e">
        <f>#REF!</f>
        <v>#REF!</v>
      </c>
      <c r="P52" s="100" t="e">
        <f>#REF!</f>
        <v>#REF!</v>
      </c>
      <c r="Q52" s="100" t="e">
        <f>#REF!</f>
        <v>#REF!</v>
      </c>
      <c r="R52" s="100" t="e">
        <f>#REF!</f>
        <v>#REF!</v>
      </c>
      <c r="S52" s="100" t="e">
        <f>#REF!</f>
        <v>#REF!</v>
      </c>
      <c r="T52" s="100" t="e">
        <f>#REF!</f>
        <v>#REF!</v>
      </c>
      <c r="U52" s="100" t="e">
        <f>#REF!</f>
        <v>#REF!</v>
      </c>
      <c r="V52" s="100" t="e">
        <f>#REF!</f>
        <v>#REF!</v>
      </c>
      <c r="W52" s="100" t="e">
        <f>#REF!</f>
        <v>#REF!</v>
      </c>
      <c r="X52" s="100" t="e">
        <f>#REF!</f>
        <v>#REF!</v>
      </c>
      <c r="Y52" s="100" t="e">
        <f>#REF!</f>
        <v>#REF!</v>
      </c>
      <c r="Z52" s="100" t="e">
        <f>#REF!</f>
        <v>#REF!</v>
      </c>
      <c r="AA52" s="100" t="e">
        <f>#REF!</f>
        <v>#REF!</v>
      </c>
      <c r="AB52" s="100" t="e">
        <f>#REF!</f>
        <v>#REF!</v>
      </c>
      <c r="AC52" s="100" t="e">
        <f>#REF!</f>
        <v>#REF!</v>
      </c>
      <c r="AD52" s="100" t="e">
        <f>#REF!</f>
        <v>#REF!</v>
      </c>
      <c r="AE52" s="100" t="e">
        <f>#REF!</f>
        <v>#REF!</v>
      </c>
      <c r="AF52" s="100" t="e">
        <f>#REF!</f>
        <v>#REF!</v>
      </c>
    </row>
    <row r="53" spans="1:32" x14ac:dyDescent="0.35">
      <c r="A53">
        <v>52</v>
      </c>
      <c r="B53" t="s">
        <v>167</v>
      </c>
      <c r="C53" t="s">
        <v>185</v>
      </c>
      <c r="D53" t="s">
        <v>221</v>
      </c>
      <c r="E53" s="102"/>
      <c r="F53" s="102"/>
      <c r="G53" s="102"/>
      <c r="H53" s="102"/>
      <c r="I53" s="102"/>
      <c r="J53" s="102"/>
      <c r="K53" s="102"/>
      <c r="L53" s="102"/>
      <c r="M53" s="102"/>
      <c r="N53" s="102"/>
      <c r="O53" s="102"/>
      <c r="P53" s="102"/>
      <c r="Q53" s="102"/>
      <c r="R53" s="102"/>
      <c r="S53" s="102"/>
      <c r="T53" s="102"/>
      <c r="U53" s="102"/>
      <c r="V53" s="102"/>
      <c r="W53" s="102"/>
      <c r="X53" s="102"/>
      <c r="Y53" s="102"/>
      <c r="Z53" s="102"/>
      <c r="AA53" s="102"/>
      <c r="AB53" s="102"/>
      <c r="AC53" s="102"/>
      <c r="AD53" s="102"/>
      <c r="AE53" s="102"/>
      <c r="AF53" s="102"/>
    </row>
    <row r="54" spans="1:32" x14ac:dyDescent="0.35">
      <c r="A54">
        <v>53</v>
      </c>
      <c r="B54" t="s">
        <v>167</v>
      </c>
      <c r="C54" t="s">
        <v>185</v>
      </c>
      <c r="D54" t="s">
        <v>222</v>
      </c>
      <c r="E54" s="100" t="e">
        <f>#REF!</f>
        <v>#REF!</v>
      </c>
      <c r="F54" s="100" t="e">
        <f>#REF!</f>
        <v>#REF!</v>
      </c>
      <c r="G54" s="100" t="e">
        <f>#REF!</f>
        <v>#REF!</v>
      </c>
      <c r="H54" s="100" t="e">
        <f>#REF!</f>
        <v>#REF!</v>
      </c>
      <c r="I54" s="100" t="e">
        <f>#REF!</f>
        <v>#REF!</v>
      </c>
      <c r="J54" s="100" t="e">
        <f>#REF!</f>
        <v>#REF!</v>
      </c>
      <c r="K54" s="100" t="e">
        <f>#REF!</f>
        <v>#REF!</v>
      </c>
      <c r="L54" s="100" t="e">
        <f>#REF!</f>
        <v>#REF!</v>
      </c>
      <c r="M54" s="100" t="e">
        <f>#REF!</f>
        <v>#REF!</v>
      </c>
      <c r="N54" s="100" t="e">
        <f>#REF!</f>
        <v>#REF!</v>
      </c>
      <c r="O54" s="100" t="e">
        <f>#REF!</f>
        <v>#REF!</v>
      </c>
      <c r="P54" s="100" t="e">
        <f>#REF!</f>
        <v>#REF!</v>
      </c>
      <c r="Q54" s="100" t="e">
        <f>#REF!</f>
        <v>#REF!</v>
      </c>
      <c r="R54" s="100" t="e">
        <f>#REF!</f>
        <v>#REF!</v>
      </c>
      <c r="S54" s="100" t="e">
        <f>#REF!</f>
        <v>#REF!</v>
      </c>
      <c r="T54" s="100" t="e">
        <f>#REF!</f>
        <v>#REF!</v>
      </c>
      <c r="U54" s="100" t="e">
        <f>#REF!</f>
        <v>#REF!</v>
      </c>
      <c r="V54" s="100" t="e">
        <f>#REF!</f>
        <v>#REF!</v>
      </c>
      <c r="W54" s="100" t="e">
        <f>#REF!</f>
        <v>#REF!</v>
      </c>
      <c r="X54" s="100" t="e">
        <f>#REF!</f>
        <v>#REF!</v>
      </c>
      <c r="Y54" s="100" t="e">
        <f>#REF!</f>
        <v>#REF!</v>
      </c>
      <c r="Z54" s="100" t="e">
        <f>#REF!</f>
        <v>#REF!</v>
      </c>
      <c r="AA54" s="100" t="e">
        <f>#REF!</f>
        <v>#REF!</v>
      </c>
      <c r="AB54" s="100" t="e">
        <f>#REF!</f>
        <v>#REF!</v>
      </c>
      <c r="AC54" s="100" t="e">
        <f>#REF!</f>
        <v>#REF!</v>
      </c>
      <c r="AD54" s="100" t="e">
        <f>#REF!</f>
        <v>#REF!</v>
      </c>
      <c r="AE54" s="100" t="e">
        <f>#REF!</f>
        <v>#REF!</v>
      </c>
      <c r="AF54" s="100" t="e">
        <f>#REF!</f>
        <v>#REF!</v>
      </c>
    </row>
    <row r="55" spans="1:32" x14ac:dyDescent="0.35">
      <c r="A55">
        <v>54</v>
      </c>
      <c r="B55" t="s">
        <v>167</v>
      </c>
      <c r="C55" t="s">
        <v>185</v>
      </c>
      <c r="D55" t="s">
        <v>223</v>
      </c>
      <c r="E55" s="100" t="e">
        <f>#REF!</f>
        <v>#REF!</v>
      </c>
      <c r="F55" s="100" t="e">
        <f>#REF!</f>
        <v>#REF!</v>
      </c>
      <c r="G55" s="100" t="e">
        <f>#REF!</f>
        <v>#REF!</v>
      </c>
      <c r="H55" s="100" t="e">
        <f>#REF!</f>
        <v>#REF!</v>
      </c>
      <c r="I55" s="100" t="e">
        <f>#REF!</f>
        <v>#REF!</v>
      </c>
      <c r="J55" s="100" t="e">
        <f>#REF!</f>
        <v>#REF!</v>
      </c>
      <c r="K55" s="100" t="e">
        <f>#REF!</f>
        <v>#REF!</v>
      </c>
      <c r="L55" s="100" t="e">
        <f>#REF!</f>
        <v>#REF!</v>
      </c>
      <c r="M55" s="100" t="e">
        <f>#REF!</f>
        <v>#REF!</v>
      </c>
      <c r="N55" s="100" t="e">
        <f>#REF!</f>
        <v>#REF!</v>
      </c>
      <c r="O55" s="100" t="e">
        <f>#REF!</f>
        <v>#REF!</v>
      </c>
      <c r="P55" s="100" t="e">
        <f>#REF!</f>
        <v>#REF!</v>
      </c>
      <c r="Q55" s="100" t="e">
        <f>#REF!</f>
        <v>#REF!</v>
      </c>
      <c r="R55" s="100" t="e">
        <f>#REF!</f>
        <v>#REF!</v>
      </c>
      <c r="S55" s="100" t="e">
        <f>#REF!</f>
        <v>#REF!</v>
      </c>
      <c r="T55" s="100" t="e">
        <f>#REF!</f>
        <v>#REF!</v>
      </c>
      <c r="U55" s="100" t="e">
        <f>#REF!</f>
        <v>#REF!</v>
      </c>
      <c r="V55" s="100" t="e">
        <f>#REF!</f>
        <v>#REF!</v>
      </c>
      <c r="W55" s="100" t="e">
        <f>#REF!</f>
        <v>#REF!</v>
      </c>
      <c r="X55" s="100" t="e">
        <f>#REF!</f>
        <v>#REF!</v>
      </c>
      <c r="Y55" s="100" t="e">
        <f>#REF!</f>
        <v>#REF!</v>
      </c>
      <c r="Z55" s="100" t="e">
        <f>#REF!</f>
        <v>#REF!</v>
      </c>
      <c r="AA55" s="100" t="e">
        <f>#REF!</f>
        <v>#REF!</v>
      </c>
      <c r="AB55" s="100" t="e">
        <f>#REF!</f>
        <v>#REF!</v>
      </c>
      <c r="AC55" s="100" t="e">
        <f>#REF!</f>
        <v>#REF!</v>
      </c>
      <c r="AD55" s="100" t="e">
        <f>#REF!</f>
        <v>#REF!</v>
      </c>
      <c r="AE55" s="100" t="e">
        <f>#REF!</f>
        <v>#REF!</v>
      </c>
      <c r="AF55" s="100" t="e">
        <f>#REF!</f>
        <v>#REF!</v>
      </c>
    </row>
    <row r="56" spans="1:32" x14ac:dyDescent="0.35">
      <c r="A56">
        <v>55</v>
      </c>
      <c r="B56" t="s">
        <v>167</v>
      </c>
      <c r="C56" t="s">
        <v>185</v>
      </c>
      <c r="D56" t="s">
        <v>224</v>
      </c>
      <c r="E56" s="100" t="e">
        <f>#REF!</f>
        <v>#REF!</v>
      </c>
      <c r="F56" s="100" t="e">
        <f>#REF!</f>
        <v>#REF!</v>
      </c>
      <c r="G56" s="100" t="e">
        <f>#REF!</f>
        <v>#REF!</v>
      </c>
      <c r="H56" s="100" t="e">
        <f>#REF!</f>
        <v>#REF!</v>
      </c>
      <c r="I56" s="100" t="e">
        <f>#REF!</f>
        <v>#REF!</v>
      </c>
      <c r="J56" s="100" t="e">
        <f>#REF!</f>
        <v>#REF!</v>
      </c>
      <c r="K56" s="100" t="e">
        <f>#REF!</f>
        <v>#REF!</v>
      </c>
      <c r="L56" s="100" t="e">
        <f>#REF!</f>
        <v>#REF!</v>
      </c>
      <c r="M56" s="100" t="e">
        <f>#REF!</f>
        <v>#REF!</v>
      </c>
      <c r="N56" s="100" t="e">
        <f>#REF!</f>
        <v>#REF!</v>
      </c>
      <c r="O56" s="100" t="e">
        <f>#REF!</f>
        <v>#REF!</v>
      </c>
      <c r="P56" s="100" t="e">
        <f>#REF!</f>
        <v>#REF!</v>
      </c>
      <c r="Q56" s="100" t="e">
        <f>#REF!</f>
        <v>#REF!</v>
      </c>
      <c r="R56" s="100" t="e">
        <f>#REF!</f>
        <v>#REF!</v>
      </c>
      <c r="S56" s="100" t="e">
        <f>#REF!</f>
        <v>#REF!</v>
      </c>
      <c r="T56" s="100" t="e">
        <f>#REF!</f>
        <v>#REF!</v>
      </c>
      <c r="U56" s="100" t="e">
        <f>#REF!</f>
        <v>#REF!</v>
      </c>
      <c r="V56" s="100" t="e">
        <f>#REF!</f>
        <v>#REF!</v>
      </c>
      <c r="W56" s="100" t="e">
        <f>#REF!</f>
        <v>#REF!</v>
      </c>
      <c r="X56" s="100" t="e">
        <f>#REF!</f>
        <v>#REF!</v>
      </c>
      <c r="Y56" s="100" t="e">
        <f>#REF!</f>
        <v>#REF!</v>
      </c>
      <c r="Z56" s="100" t="e">
        <f>#REF!</f>
        <v>#REF!</v>
      </c>
      <c r="AA56" s="100" t="e">
        <f>#REF!</f>
        <v>#REF!</v>
      </c>
      <c r="AB56" s="100" t="e">
        <f>#REF!</f>
        <v>#REF!</v>
      </c>
      <c r="AC56" s="100" t="e">
        <f>#REF!</f>
        <v>#REF!</v>
      </c>
      <c r="AD56" s="100" t="e">
        <f>#REF!</f>
        <v>#REF!</v>
      </c>
      <c r="AE56" s="100" t="e">
        <f>#REF!</f>
        <v>#REF!</v>
      </c>
      <c r="AF56" s="100" t="e">
        <f>#REF!</f>
        <v>#REF!</v>
      </c>
    </row>
    <row r="57" spans="1:32" x14ac:dyDescent="0.35">
      <c r="A57">
        <v>56</v>
      </c>
      <c r="B57" t="s">
        <v>167</v>
      </c>
      <c r="C57" t="s">
        <v>186</v>
      </c>
      <c r="D57" t="s">
        <v>220</v>
      </c>
      <c r="E57" s="100" t="e">
        <f>#REF!</f>
        <v>#REF!</v>
      </c>
      <c r="F57" s="100" t="e">
        <f>#REF!</f>
        <v>#REF!</v>
      </c>
      <c r="G57" s="100" t="e">
        <f>#REF!</f>
        <v>#REF!</v>
      </c>
      <c r="H57" s="100" t="e">
        <f>#REF!</f>
        <v>#REF!</v>
      </c>
      <c r="I57" s="100" t="e">
        <f>#REF!</f>
        <v>#REF!</v>
      </c>
      <c r="J57" s="100" t="e">
        <f>#REF!</f>
        <v>#REF!</v>
      </c>
      <c r="K57" s="100" t="e">
        <f>#REF!</f>
        <v>#REF!</v>
      </c>
      <c r="L57" s="100" t="e">
        <f>#REF!</f>
        <v>#REF!</v>
      </c>
      <c r="M57" s="100" t="e">
        <f>#REF!</f>
        <v>#REF!</v>
      </c>
      <c r="N57" s="100" t="e">
        <f>#REF!</f>
        <v>#REF!</v>
      </c>
      <c r="O57" s="100" t="e">
        <f>#REF!</f>
        <v>#REF!</v>
      </c>
      <c r="P57" s="100" t="e">
        <f>#REF!</f>
        <v>#REF!</v>
      </c>
      <c r="Q57" s="100" t="e">
        <f>#REF!</f>
        <v>#REF!</v>
      </c>
      <c r="R57" s="100" t="e">
        <f>#REF!</f>
        <v>#REF!</v>
      </c>
      <c r="S57" s="100" t="e">
        <f>#REF!</f>
        <v>#REF!</v>
      </c>
      <c r="T57" s="100" t="e">
        <f>#REF!</f>
        <v>#REF!</v>
      </c>
      <c r="U57" s="100" t="e">
        <f>#REF!</f>
        <v>#REF!</v>
      </c>
      <c r="V57" s="100" t="e">
        <f>#REF!</f>
        <v>#REF!</v>
      </c>
      <c r="W57" s="100" t="e">
        <f>#REF!</f>
        <v>#REF!</v>
      </c>
      <c r="X57" s="100" t="e">
        <f>#REF!</f>
        <v>#REF!</v>
      </c>
      <c r="Y57" s="100" t="e">
        <f>#REF!</f>
        <v>#REF!</v>
      </c>
      <c r="Z57" s="100" t="e">
        <f>#REF!</f>
        <v>#REF!</v>
      </c>
      <c r="AA57" s="100" t="e">
        <f>#REF!</f>
        <v>#REF!</v>
      </c>
      <c r="AB57" s="100" t="e">
        <f>#REF!</f>
        <v>#REF!</v>
      </c>
      <c r="AC57" s="100" t="e">
        <f>#REF!</f>
        <v>#REF!</v>
      </c>
      <c r="AD57" s="100" t="e">
        <f>#REF!</f>
        <v>#REF!</v>
      </c>
      <c r="AE57" s="100" t="e">
        <f>#REF!</f>
        <v>#REF!</v>
      </c>
      <c r="AF57" s="100" t="e">
        <f>#REF!</f>
        <v>#REF!</v>
      </c>
    </row>
    <row r="58" spans="1:32" x14ac:dyDescent="0.35">
      <c r="A58">
        <v>57</v>
      </c>
      <c r="B58" t="s">
        <v>167</v>
      </c>
      <c r="C58" t="s">
        <v>186</v>
      </c>
      <c r="D58" t="s">
        <v>221</v>
      </c>
      <c r="E58" s="102"/>
      <c r="F58" s="102"/>
      <c r="G58" s="102"/>
      <c r="H58" s="102"/>
      <c r="I58" s="102"/>
      <c r="J58" s="102"/>
      <c r="K58" s="102"/>
      <c r="L58" s="102"/>
      <c r="M58" s="102"/>
      <c r="N58" s="102"/>
      <c r="O58" s="102"/>
      <c r="P58" s="102"/>
      <c r="Q58" s="102"/>
      <c r="R58" s="102"/>
      <c r="S58" s="102"/>
      <c r="T58" s="102"/>
      <c r="U58" s="102"/>
      <c r="V58" s="102"/>
      <c r="W58" s="102"/>
      <c r="X58" s="102"/>
      <c r="Y58" s="102"/>
      <c r="Z58" s="102"/>
      <c r="AA58" s="102"/>
      <c r="AB58" s="102"/>
      <c r="AC58" s="102"/>
      <c r="AD58" s="102"/>
      <c r="AE58" s="102"/>
      <c r="AF58" s="102"/>
    </row>
    <row r="59" spans="1:32" x14ac:dyDescent="0.35">
      <c r="A59">
        <v>58</v>
      </c>
      <c r="B59" t="s">
        <v>167</v>
      </c>
      <c r="C59" t="s">
        <v>186</v>
      </c>
      <c r="D59" t="s">
        <v>222</v>
      </c>
      <c r="E59" s="100" t="e">
        <f>#REF!</f>
        <v>#REF!</v>
      </c>
      <c r="F59" s="100" t="e">
        <f>#REF!</f>
        <v>#REF!</v>
      </c>
      <c r="G59" s="100" t="e">
        <f>#REF!</f>
        <v>#REF!</v>
      </c>
      <c r="H59" s="100" t="e">
        <f>#REF!</f>
        <v>#REF!</v>
      </c>
      <c r="I59" s="100" t="e">
        <f>#REF!</f>
        <v>#REF!</v>
      </c>
      <c r="J59" s="100" t="e">
        <f>#REF!</f>
        <v>#REF!</v>
      </c>
      <c r="K59" s="100" t="e">
        <f>#REF!</f>
        <v>#REF!</v>
      </c>
      <c r="L59" s="100" t="e">
        <f>#REF!</f>
        <v>#REF!</v>
      </c>
      <c r="M59" s="100" t="e">
        <f>#REF!</f>
        <v>#REF!</v>
      </c>
      <c r="N59" s="100" t="e">
        <f>#REF!</f>
        <v>#REF!</v>
      </c>
      <c r="O59" s="100" t="e">
        <f>#REF!</f>
        <v>#REF!</v>
      </c>
      <c r="P59" s="100" t="e">
        <f>#REF!</f>
        <v>#REF!</v>
      </c>
      <c r="Q59" s="100" t="e">
        <f>#REF!</f>
        <v>#REF!</v>
      </c>
      <c r="R59" s="100" t="e">
        <f>#REF!</f>
        <v>#REF!</v>
      </c>
      <c r="S59" s="100" t="e">
        <f>#REF!</f>
        <v>#REF!</v>
      </c>
      <c r="T59" s="100" t="e">
        <f>#REF!</f>
        <v>#REF!</v>
      </c>
      <c r="U59" s="100" t="e">
        <f>#REF!</f>
        <v>#REF!</v>
      </c>
      <c r="V59" s="100" t="e">
        <f>#REF!</f>
        <v>#REF!</v>
      </c>
      <c r="W59" s="100" t="e">
        <f>#REF!</f>
        <v>#REF!</v>
      </c>
      <c r="X59" s="100" t="e">
        <f>#REF!</f>
        <v>#REF!</v>
      </c>
      <c r="Y59" s="100" t="e">
        <f>#REF!</f>
        <v>#REF!</v>
      </c>
      <c r="Z59" s="100" t="e">
        <f>#REF!</f>
        <v>#REF!</v>
      </c>
      <c r="AA59" s="100" t="e">
        <f>#REF!</f>
        <v>#REF!</v>
      </c>
      <c r="AB59" s="100" t="e">
        <f>#REF!</f>
        <v>#REF!</v>
      </c>
      <c r="AC59" s="100" t="e">
        <f>#REF!</f>
        <v>#REF!</v>
      </c>
      <c r="AD59" s="100" t="e">
        <f>#REF!</f>
        <v>#REF!</v>
      </c>
      <c r="AE59" s="100" t="e">
        <f>#REF!</f>
        <v>#REF!</v>
      </c>
      <c r="AF59" s="100" t="e">
        <f>#REF!</f>
        <v>#REF!</v>
      </c>
    </row>
    <row r="60" spans="1:32" x14ac:dyDescent="0.35">
      <c r="A60">
        <v>59</v>
      </c>
      <c r="B60" t="s">
        <v>167</v>
      </c>
      <c r="C60" t="s">
        <v>186</v>
      </c>
      <c r="D60" t="s">
        <v>223</v>
      </c>
      <c r="E60" s="100" t="e">
        <f>#REF!</f>
        <v>#REF!</v>
      </c>
      <c r="F60" s="100" t="e">
        <f>#REF!</f>
        <v>#REF!</v>
      </c>
      <c r="G60" s="100" t="e">
        <f>#REF!</f>
        <v>#REF!</v>
      </c>
      <c r="H60" s="100" t="e">
        <f>#REF!</f>
        <v>#REF!</v>
      </c>
      <c r="I60" s="100" t="e">
        <f>#REF!</f>
        <v>#REF!</v>
      </c>
      <c r="J60" s="100" t="e">
        <f>#REF!</f>
        <v>#REF!</v>
      </c>
      <c r="K60" s="100" t="e">
        <f>#REF!</f>
        <v>#REF!</v>
      </c>
      <c r="L60" s="100" t="e">
        <f>#REF!</f>
        <v>#REF!</v>
      </c>
      <c r="M60" s="100" t="e">
        <f>#REF!</f>
        <v>#REF!</v>
      </c>
      <c r="N60" s="100" t="e">
        <f>#REF!</f>
        <v>#REF!</v>
      </c>
      <c r="O60" s="100" t="e">
        <f>#REF!</f>
        <v>#REF!</v>
      </c>
      <c r="P60" s="100" t="e">
        <f>#REF!</f>
        <v>#REF!</v>
      </c>
      <c r="Q60" s="100" t="e">
        <f>#REF!</f>
        <v>#REF!</v>
      </c>
      <c r="R60" s="100" t="e">
        <f>#REF!</f>
        <v>#REF!</v>
      </c>
      <c r="S60" s="100" t="e">
        <f>#REF!</f>
        <v>#REF!</v>
      </c>
      <c r="T60" s="100" t="e">
        <f>#REF!</f>
        <v>#REF!</v>
      </c>
      <c r="U60" s="100" t="e">
        <f>#REF!</f>
        <v>#REF!</v>
      </c>
      <c r="V60" s="100" t="e">
        <f>#REF!</f>
        <v>#REF!</v>
      </c>
      <c r="W60" s="100" t="e">
        <f>#REF!</f>
        <v>#REF!</v>
      </c>
      <c r="X60" s="100" t="e">
        <f>#REF!</f>
        <v>#REF!</v>
      </c>
      <c r="Y60" s="100" t="e">
        <f>#REF!</f>
        <v>#REF!</v>
      </c>
      <c r="Z60" s="100" t="e">
        <f>#REF!</f>
        <v>#REF!</v>
      </c>
      <c r="AA60" s="100" t="e">
        <f>#REF!</f>
        <v>#REF!</v>
      </c>
      <c r="AB60" s="100" t="e">
        <f>#REF!</f>
        <v>#REF!</v>
      </c>
      <c r="AC60" s="100" t="e">
        <f>#REF!</f>
        <v>#REF!</v>
      </c>
      <c r="AD60" s="100" t="e">
        <f>#REF!</f>
        <v>#REF!</v>
      </c>
      <c r="AE60" s="100" t="e">
        <f>#REF!</f>
        <v>#REF!</v>
      </c>
      <c r="AF60" s="100" t="e">
        <f>#REF!</f>
        <v>#REF!</v>
      </c>
    </row>
    <row r="61" spans="1:32" x14ac:dyDescent="0.35">
      <c r="A61">
        <v>60</v>
      </c>
      <c r="B61" t="s">
        <v>167</v>
      </c>
      <c r="C61" t="s">
        <v>186</v>
      </c>
      <c r="D61" t="s">
        <v>224</v>
      </c>
      <c r="E61" s="100" t="e">
        <f>#REF!</f>
        <v>#REF!</v>
      </c>
      <c r="F61" s="100" t="e">
        <f>#REF!</f>
        <v>#REF!</v>
      </c>
      <c r="G61" s="100" t="e">
        <f>#REF!</f>
        <v>#REF!</v>
      </c>
      <c r="H61" s="100" t="e">
        <f>#REF!</f>
        <v>#REF!</v>
      </c>
      <c r="I61" s="100" t="e">
        <f>#REF!</f>
        <v>#REF!</v>
      </c>
      <c r="J61" s="100" t="e">
        <f>#REF!</f>
        <v>#REF!</v>
      </c>
      <c r="K61" s="100" t="e">
        <f>#REF!</f>
        <v>#REF!</v>
      </c>
      <c r="L61" s="100" t="e">
        <f>#REF!</f>
        <v>#REF!</v>
      </c>
      <c r="M61" s="100" t="e">
        <f>#REF!</f>
        <v>#REF!</v>
      </c>
      <c r="N61" s="100" t="e">
        <f>#REF!</f>
        <v>#REF!</v>
      </c>
      <c r="O61" s="100" t="e">
        <f>#REF!</f>
        <v>#REF!</v>
      </c>
      <c r="P61" s="100" t="e">
        <f>#REF!</f>
        <v>#REF!</v>
      </c>
      <c r="Q61" s="100" t="e">
        <f>#REF!</f>
        <v>#REF!</v>
      </c>
      <c r="R61" s="100" t="e">
        <f>#REF!</f>
        <v>#REF!</v>
      </c>
      <c r="S61" s="100" t="e">
        <f>#REF!</f>
        <v>#REF!</v>
      </c>
      <c r="T61" s="100" t="e">
        <f>#REF!</f>
        <v>#REF!</v>
      </c>
      <c r="U61" s="100" t="e">
        <f>#REF!</f>
        <v>#REF!</v>
      </c>
      <c r="V61" s="100" t="e">
        <f>#REF!</f>
        <v>#REF!</v>
      </c>
      <c r="W61" s="100" t="e">
        <f>#REF!</f>
        <v>#REF!</v>
      </c>
      <c r="X61" s="100" t="e">
        <f>#REF!</f>
        <v>#REF!</v>
      </c>
      <c r="Y61" s="100" t="e">
        <f>#REF!</f>
        <v>#REF!</v>
      </c>
      <c r="Z61" s="100" t="e">
        <f>#REF!</f>
        <v>#REF!</v>
      </c>
      <c r="AA61" s="100" t="e">
        <f>#REF!</f>
        <v>#REF!</v>
      </c>
      <c r="AB61" s="100" t="e">
        <f>#REF!</f>
        <v>#REF!</v>
      </c>
      <c r="AC61" s="100" t="e">
        <f>#REF!</f>
        <v>#REF!</v>
      </c>
      <c r="AD61" s="100" t="e">
        <f>#REF!</f>
        <v>#REF!</v>
      </c>
      <c r="AE61" s="100" t="e">
        <f>#REF!</f>
        <v>#REF!</v>
      </c>
      <c r="AF61" s="100" t="e">
        <f>#REF!</f>
        <v>#REF!</v>
      </c>
    </row>
  </sheetData>
  <autoFilter ref="A1:AF61" xr:uid="{AF8668B1-9741-4E7F-A2AD-F09AFC561265}">
    <sortState xmlns:xlrd2="http://schemas.microsoft.com/office/spreadsheetml/2017/richdata2" ref="A2:AF61">
      <sortCondition ref="A1:A61"/>
    </sortState>
  </autoFilter>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0385E-FE16-44CE-9B43-6CF16FAFB884}">
  <dimension ref="A1:C9"/>
  <sheetViews>
    <sheetView zoomScale="120" zoomScaleNormal="120" workbookViewId="0">
      <selection activeCell="C18" sqref="C18"/>
    </sheetView>
  </sheetViews>
  <sheetFormatPr defaultRowHeight="14.5" x14ac:dyDescent="0.35"/>
  <cols>
    <col min="1" max="1" width="173.54296875" bestFit="1" customWidth="1"/>
    <col min="3" max="3" width="66.453125" bestFit="1" customWidth="1"/>
    <col min="12" max="12" width="66.453125" bestFit="1" customWidth="1"/>
  </cols>
  <sheetData>
    <row r="1" spans="1:3" x14ac:dyDescent="0.35">
      <c r="A1" s="99" t="s">
        <v>210</v>
      </c>
      <c r="C1" s="99" t="s">
        <v>211</v>
      </c>
    </row>
    <row r="2" spans="1:3" x14ac:dyDescent="0.35">
      <c r="A2" t="s">
        <v>227</v>
      </c>
      <c r="C2" t="s">
        <v>212</v>
      </c>
    </row>
    <row r="3" spans="1:3" x14ac:dyDescent="0.35">
      <c r="A3" t="s">
        <v>238</v>
      </c>
      <c r="C3" t="s">
        <v>213</v>
      </c>
    </row>
    <row r="4" spans="1:3" x14ac:dyDescent="0.35">
      <c r="A4" t="s">
        <v>214</v>
      </c>
      <c r="C4" t="s">
        <v>215</v>
      </c>
    </row>
    <row r="5" spans="1:3" x14ac:dyDescent="0.35">
      <c r="A5" t="s">
        <v>216</v>
      </c>
    </row>
    <row r="6" spans="1:3" x14ac:dyDescent="0.35">
      <c r="A6" t="s">
        <v>226</v>
      </c>
    </row>
    <row r="7" spans="1:3" x14ac:dyDescent="0.35">
      <c r="A7" s="106" t="s">
        <v>233</v>
      </c>
    </row>
    <row r="8" spans="1:3" x14ac:dyDescent="0.35">
      <c r="A8" t="s">
        <v>235</v>
      </c>
    </row>
    <row r="9" spans="1:3" x14ac:dyDescent="0.35">
      <c r="A9" t="s">
        <v>239</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6A5DE-5CE7-4758-A70C-0ACAB4BA465C}">
  <sheetPr codeName="Sheet16">
    <tabColor theme="9"/>
  </sheetPr>
  <dimension ref="A1:AR82"/>
  <sheetViews>
    <sheetView zoomScale="80" zoomScaleNormal="80" workbookViewId="0">
      <selection activeCell="D20" sqref="D20"/>
    </sheetView>
  </sheetViews>
  <sheetFormatPr defaultColWidth="9.36328125" defaultRowHeight="14.5" x14ac:dyDescent="0.35"/>
  <cols>
    <col min="1" max="1" width="38.54296875" style="4" customWidth="1"/>
    <col min="2" max="4" width="14.6328125" style="4" bestFit="1" customWidth="1"/>
    <col min="5" max="5" width="28" style="4" bestFit="1" customWidth="1"/>
    <col min="6" max="11" width="14.6328125" style="4" bestFit="1" customWidth="1"/>
    <col min="12" max="12" width="24.453125" style="4" bestFit="1" customWidth="1"/>
    <col min="13" max="29" width="14.6328125" style="4" bestFit="1" customWidth="1"/>
    <col min="30" max="44" width="13.54296875" style="4" bestFit="1" customWidth="1"/>
    <col min="45" max="16384" width="9.36328125" style="4"/>
  </cols>
  <sheetData>
    <row r="1" spans="1:44" s="3" customFormat="1" ht="21" x14ac:dyDescent="0.5">
      <c r="A1" s="2" t="s">
        <v>209</v>
      </c>
    </row>
    <row r="2" spans="1:44" s="3" customFormat="1" ht="21" x14ac:dyDescent="0.5">
      <c r="A2" s="2"/>
    </row>
    <row r="3" spans="1:44" x14ac:dyDescent="0.35">
      <c r="A3" s="33" t="s">
        <v>193</v>
      </c>
    </row>
    <row r="4" spans="1:44" x14ac:dyDescent="0.35">
      <c r="A4" s="33" t="s">
        <v>194</v>
      </c>
    </row>
    <row r="5" spans="1:44" ht="15" thickBot="1" x14ac:dyDescent="0.4">
      <c r="A5" s="34" t="s">
        <v>195</v>
      </c>
      <c r="B5" s="34"/>
    </row>
    <row r="6" spans="1:44" ht="15" thickBot="1" x14ac:dyDescent="0.4">
      <c r="A6" s="39" t="s">
        <v>196</v>
      </c>
      <c r="B6" s="35"/>
    </row>
    <row r="7" spans="1:44" ht="15" thickBot="1" x14ac:dyDescent="0.4">
      <c r="A7" s="38" t="s">
        <v>197</v>
      </c>
      <c r="B7" s="36"/>
    </row>
    <row r="8" spans="1:44" ht="15" thickBot="1" x14ac:dyDescent="0.4"/>
    <row r="9" spans="1:44" x14ac:dyDescent="0.35">
      <c r="A9" s="5" t="s">
        <v>198</v>
      </c>
      <c r="B9" s="6">
        <v>2023</v>
      </c>
      <c r="C9" s="6">
        <v>2050</v>
      </c>
      <c r="D9" s="7"/>
      <c r="E9" s="5" t="s">
        <v>199</v>
      </c>
      <c r="F9" s="8"/>
      <c r="G9" s="8"/>
      <c r="H9" s="8"/>
      <c r="I9" s="8"/>
      <c r="J9" s="8"/>
      <c r="K9" s="9"/>
      <c r="L9" s="10" t="s">
        <v>2</v>
      </c>
      <c r="M9" s="11"/>
      <c r="N9" s="11"/>
      <c r="O9" s="11"/>
      <c r="P9" s="12"/>
      <c r="Q9" s="13">
        <v>0</v>
      </c>
      <c r="R9" s="13">
        <v>1</v>
      </c>
      <c r="S9" s="13">
        <v>2</v>
      </c>
      <c r="T9" s="13">
        <v>3</v>
      </c>
      <c r="U9" s="13">
        <v>4</v>
      </c>
      <c r="V9" s="13">
        <v>5</v>
      </c>
      <c r="W9" s="13">
        <v>6</v>
      </c>
      <c r="X9" s="13">
        <v>7</v>
      </c>
      <c r="Y9" s="13">
        <v>8</v>
      </c>
      <c r="Z9" s="13">
        <v>9</v>
      </c>
      <c r="AA9" s="13">
        <v>10</v>
      </c>
      <c r="AB9" s="13">
        <v>11</v>
      </c>
      <c r="AC9" s="13">
        <v>12</v>
      </c>
      <c r="AD9" s="13">
        <v>13</v>
      </c>
      <c r="AE9" s="13">
        <v>14</v>
      </c>
      <c r="AF9" s="13">
        <v>15</v>
      </c>
      <c r="AG9" s="13">
        <v>16</v>
      </c>
      <c r="AH9" s="13">
        <v>17</v>
      </c>
      <c r="AI9" s="13">
        <v>18</v>
      </c>
      <c r="AJ9" s="13">
        <v>19</v>
      </c>
      <c r="AK9" s="13">
        <v>20</v>
      </c>
      <c r="AL9" s="13">
        <v>21</v>
      </c>
      <c r="AM9" s="13">
        <v>22</v>
      </c>
      <c r="AN9" s="13">
        <v>23</v>
      </c>
      <c r="AO9" s="13">
        <v>24</v>
      </c>
      <c r="AP9" s="13">
        <v>25</v>
      </c>
      <c r="AQ9" s="13">
        <v>26</v>
      </c>
      <c r="AR9" s="14">
        <v>27</v>
      </c>
    </row>
    <row r="10" spans="1:44" ht="15" thickBot="1" x14ac:dyDescent="0.4">
      <c r="A10" s="15"/>
      <c r="B10" s="3" t="s">
        <v>200</v>
      </c>
      <c r="C10" s="3" t="s">
        <v>201</v>
      </c>
      <c r="D10" s="16" t="s">
        <v>5</v>
      </c>
      <c r="E10" s="17"/>
      <c r="F10" s="18"/>
      <c r="G10" s="18"/>
      <c r="H10" s="18"/>
      <c r="I10" s="18"/>
      <c r="J10" s="18"/>
      <c r="K10" s="19"/>
      <c r="L10" s="20" t="s">
        <v>8</v>
      </c>
      <c r="M10" s="20" t="s">
        <v>202</v>
      </c>
      <c r="N10" s="20" t="s">
        <v>203</v>
      </c>
      <c r="O10" s="20" t="s">
        <v>9</v>
      </c>
      <c r="P10" s="21" t="s">
        <v>10</v>
      </c>
      <c r="Q10" s="22">
        <v>2023</v>
      </c>
      <c r="R10" s="22">
        <v>2024</v>
      </c>
      <c r="S10" s="22">
        <v>2025</v>
      </c>
      <c r="T10" s="22">
        <v>2026</v>
      </c>
      <c r="U10" s="22">
        <v>2027</v>
      </c>
      <c r="V10" s="22">
        <v>2028</v>
      </c>
      <c r="W10" s="22">
        <v>2029</v>
      </c>
      <c r="X10" s="22">
        <v>2030</v>
      </c>
      <c r="Y10" s="22">
        <v>2031</v>
      </c>
      <c r="Z10" s="22">
        <v>2032</v>
      </c>
      <c r="AA10" s="22">
        <v>2033</v>
      </c>
      <c r="AB10" s="22">
        <v>2034</v>
      </c>
      <c r="AC10" s="22">
        <v>2035</v>
      </c>
      <c r="AD10" s="22">
        <v>2036</v>
      </c>
      <c r="AE10" s="22">
        <v>2037</v>
      </c>
      <c r="AF10" s="22">
        <v>2038</v>
      </c>
      <c r="AG10" s="22">
        <v>2039</v>
      </c>
      <c r="AH10" s="22">
        <v>2040</v>
      </c>
      <c r="AI10" s="22">
        <v>2041</v>
      </c>
      <c r="AJ10" s="22">
        <v>2042</v>
      </c>
      <c r="AK10" s="22">
        <v>2043</v>
      </c>
      <c r="AL10" s="22">
        <v>2044</v>
      </c>
      <c r="AM10" s="22">
        <v>2045</v>
      </c>
      <c r="AN10" s="22">
        <v>2046</v>
      </c>
      <c r="AO10" s="22">
        <v>2047</v>
      </c>
      <c r="AP10" s="22">
        <v>2048</v>
      </c>
      <c r="AQ10" s="22">
        <v>2049</v>
      </c>
      <c r="AR10" s="23">
        <v>2050</v>
      </c>
    </row>
    <row r="11" spans="1:44" x14ac:dyDescent="0.35">
      <c r="A11" s="24" t="s">
        <v>18</v>
      </c>
      <c r="B11" s="41">
        <v>100000</v>
      </c>
      <c r="C11" s="42">
        <v>100000</v>
      </c>
      <c r="D11" s="1" t="s">
        <v>15</v>
      </c>
      <c r="L11" s="51">
        <v>7</v>
      </c>
      <c r="M11" s="52">
        <v>0</v>
      </c>
      <c r="N11" s="52">
        <v>1</v>
      </c>
      <c r="O11" s="52">
        <v>0.8</v>
      </c>
      <c r="P11" s="53">
        <v>0.8</v>
      </c>
      <c r="Q11" s="4">
        <f t="shared" ref="Q11:AF11" si="0">$N11+($M11-$N11)*((1/(1+EXP(-$P11*(Q$9-$L11)))^$O11))</f>
        <v>0.98870000318069773</v>
      </c>
      <c r="R11" s="4">
        <f t="shared" si="0"/>
        <v>0.97864686803622136</v>
      </c>
      <c r="S11" s="4">
        <f t="shared" si="0"/>
        <v>0.95982538467280665</v>
      </c>
      <c r="T11" s="4">
        <f t="shared" si="0"/>
        <v>0.92512705484006208</v>
      </c>
      <c r="U11" s="4">
        <f t="shared" si="0"/>
        <v>0.86323195930299401</v>
      </c>
      <c r="V11" s="4">
        <f t="shared" si="0"/>
        <v>0.76000101689477173</v>
      </c>
      <c r="W11" s="4">
        <f t="shared" si="0"/>
        <v>0.60815171131295576</v>
      </c>
      <c r="X11" s="4">
        <f t="shared" si="0"/>
        <v>0.42565082250148245</v>
      </c>
      <c r="Y11" s="4">
        <f t="shared" si="0"/>
        <v>0.25686721291665371</v>
      </c>
      <c r="Z11" s="4">
        <f t="shared" si="0"/>
        <v>0.13681012326750519</v>
      </c>
      <c r="AA11" s="4">
        <f t="shared" si="0"/>
        <v>6.7110874479454963E-2</v>
      </c>
      <c r="AB11" s="4">
        <f t="shared" si="0"/>
        <v>3.1457259534366733E-2</v>
      </c>
      <c r="AC11" s="4">
        <f t="shared" si="0"/>
        <v>1.4415036328376152E-2</v>
      </c>
      <c r="AD11" s="4">
        <f t="shared" si="0"/>
        <v>6.5354046097677587E-3</v>
      </c>
      <c r="AE11" s="4">
        <f t="shared" si="0"/>
        <v>2.9484794129613912E-3</v>
      </c>
      <c r="AF11" s="4">
        <f t="shared" si="0"/>
        <v>1.3272611400154677E-3</v>
      </c>
      <c r="AG11" s="4">
        <f t="shared" ref="AG11:AR11" si="1">$N11+($M11-$N11)*((1/(1+EXP(-$P11*(AG$9-$L11)))^$O11))</f>
        <v>5.9686760508315118E-4</v>
      </c>
      <c r="AH11" s="4">
        <f t="shared" si="1"/>
        <v>2.6828910235687786E-4</v>
      </c>
      <c r="AI11" s="4">
        <f t="shared" si="1"/>
        <v>1.2057010364630028E-4</v>
      </c>
      <c r="AJ11" s="4">
        <f t="shared" si="1"/>
        <v>5.4179686630462243E-5</v>
      </c>
      <c r="AK11" s="4">
        <f t="shared" si="1"/>
        <v>2.4345319607821381E-5</v>
      </c>
      <c r="AL11" s="4">
        <f t="shared" si="1"/>
        <v>1.0939222225947454E-5</v>
      </c>
      <c r="AM11" s="4">
        <f t="shared" si="1"/>
        <v>4.9153427019721363E-6</v>
      </c>
      <c r="AN11" s="4">
        <f t="shared" si="1"/>
        <v>2.2086125700537806E-6</v>
      </c>
      <c r="AO11" s="4">
        <f t="shared" si="1"/>
        <v>9.9239495610081718E-7</v>
      </c>
      <c r="AP11" s="4">
        <f t="shared" si="1"/>
        <v>4.4591207160049606E-7</v>
      </c>
      <c r="AQ11" s="4">
        <f t="shared" si="1"/>
        <v>2.0036126446854041E-7</v>
      </c>
      <c r="AR11" s="4">
        <f t="shared" si="1"/>
        <v>9.0028130617092472E-8</v>
      </c>
    </row>
    <row r="12" spans="1:44" x14ac:dyDescent="0.35">
      <c r="A12" s="24" t="s">
        <v>28</v>
      </c>
      <c r="B12" s="60">
        <v>-30000</v>
      </c>
      <c r="C12" s="61">
        <v>-30000</v>
      </c>
      <c r="D12" s="1" t="s">
        <v>15</v>
      </c>
      <c r="L12" s="54">
        <v>8</v>
      </c>
      <c r="M12" s="37">
        <v>0</v>
      </c>
      <c r="N12" s="37">
        <v>1</v>
      </c>
      <c r="O12" s="37">
        <v>0.8</v>
      </c>
      <c r="P12" s="55">
        <v>0.8</v>
      </c>
      <c r="Q12" s="4">
        <f t="shared" ref="Q12:AF26" si="2">$N12+($M12-$N12)*((1/(1+EXP(-$P12*(Q$9-$L12)))^$O12))</f>
        <v>0.99403190884795445</v>
      </c>
      <c r="R12" s="4">
        <f t="shared" si="2"/>
        <v>0.98870000318069773</v>
      </c>
      <c r="S12" s="4">
        <f t="shared" si="2"/>
        <v>0.97864686803622136</v>
      </c>
      <c r="T12" s="4">
        <f t="shared" si="2"/>
        <v>0.95982538467280665</v>
      </c>
      <c r="U12" s="4">
        <f t="shared" si="2"/>
        <v>0.92512705484006208</v>
      </c>
      <c r="V12" s="4">
        <f t="shared" si="2"/>
        <v>0.86323195930299401</v>
      </c>
      <c r="W12" s="4">
        <f t="shared" si="2"/>
        <v>0.76000101689477173</v>
      </c>
      <c r="X12" s="4">
        <f t="shared" si="2"/>
        <v>0.60815171131295576</v>
      </c>
      <c r="Y12" s="4">
        <f t="shared" si="2"/>
        <v>0.42565082250148245</v>
      </c>
      <c r="Z12" s="4">
        <f t="shared" si="2"/>
        <v>0.25686721291665371</v>
      </c>
      <c r="AA12" s="4">
        <f t="shared" si="2"/>
        <v>0.13681012326750519</v>
      </c>
      <c r="AB12" s="4">
        <f t="shared" si="2"/>
        <v>6.7110874479454963E-2</v>
      </c>
      <c r="AC12" s="4">
        <f t="shared" si="2"/>
        <v>3.1457259534366733E-2</v>
      </c>
      <c r="AD12" s="4">
        <f t="shared" si="2"/>
        <v>1.4415036328376152E-2</v>
      </c>
      <c r="AE12" s="4">
        <f t="shared" si="2"/>
        <v>6.5354046097677587E-3</v>
      </c>
      <c r="AF12" s="4">
        <f t="shared" si="2"/>
        <v>2.9484794129613912E-3</v>
      </c>
      <c r="AG12" s="4">
        <f t="shared" ref="AG12:AR26" si="3">$N12+($M12-$N12)*((1/(1+EXP(-$P12*(AG$9-$L12)))^$O12))</f>
        <v>1.3272611400154677E-3</v>
      </c>
      <c r="AH12" s="4">
        <f t="shared" si="3"/>
        <v>5.9686760508315118E-4</v>
      </c>
      <c r="AI12" s="4">
        <f t="shared" si="3"/>
        <v>2.6828910235687786E-4</v>
      </c>
      <c r="AJ12" s="4">
        <f t="shared" si="3"/>
        <v>1.2057010364630028E-4</v>
      </c>
      <c r="AK12" s="4">
        <f t="shared" si="3"/>
        <v>5.4179686630462243E-5</v>
      </c>
      <c r="AL12" s="4">
        <f t="shared" si="3"/>
        <v>2.4345319607821381E-5</v>
      </c>
      <c r="AM12" s="4">
        <f t="shared" si="3"/>
        <v>1.0939222225947454E-5</v>
      </c>
      <c r="AN12" s="4">
        <f t="shared" si="3"/>
        <v>4.9153427019721363E-6</v>
      </c>
      <c r="AO12" s="4">
        <f t="shared" si="3"/>
        <v>2.2086125700537806E-6</v>
      </c>
      <c r="AP12" s="4">
        <f t="shared" si="3"/>
        <v>9.9239495610081718E-7</v>
      </c>
      <c r="AQ12" s="4">
        <f t="shared" si="3"/>
        <v>4.4591207160049606E-7</v>
      </c>
      <c r="AR12" s="4">
        <f t="shared" si="3"/>
        <v>2.0036126446854041E-7</v>
      </c>
    </row>
    <row r="13" spans="1:44" x14ac:dyDescent="0.35">
      <c r="A13" s="24" t="s">
        <v>14</v>
      </c>
      <c r="B13" s="43">
        <v>50000</v>
      </c>
      <c r="C13" s="44">
        <v>50000</v>
      </c>
      <c r="D13" s="1" t="s">
        <v>15</v>
      </c>
      <c r="L13" s="54">
        <v>9</v>
      </c>
      <c r="M13" s="37">
        <v>0</v>
      </c>
      <c r="N13" s="37">
        <v>1</v>
      </c>
      <c r="O13" s="37">
        <v>0.8</v>
      </c>
      <c r="P13" s="55">
        <v>0.8</v>
      </c>
      <c r="Q13" s="4">
        <f t="shared" si="2"/>
        <v>0.99685076919798865</v>
      </c>
      <c r="R13" s="4">
        <f t="shared" si="2"/>
        <v>0.99403190884795445</v>
      </c>
      <c r="S13" s="4">
        <f t="shared" si="2"/>
        <v>0.98870000318069773</v>
      </c>
      <c r="T13" s="4">
        <f t="shared" si="2"/>
        <v>0.97864686803622136</v>
      </c>
      <c r="U13" s="4">
        <f t="shared" si="2"/>
        <v>0.95982538467280665</v>
      </c>
      <c r="V13" s="4">
        <f t="shared" si="2"/>
        <v>0.92512705484006208</v>
      </c>
      <c r="W13" s="4">
        <f t="shared" si="2"/>
        <v>0.86323195930299401</v>
      </c>
      <c r="X13" s="4">
        <f t="shared" si="2"/>
        <v>0.76000101689477173</v>
      </c>
      <c r="Y13" s="4">
        <f t="shared" si="2"/>
        <v>0.60815171131295576</v>
      </c>
      <c r="Z13" s="4">
        <f t="shared" si="2"/>
        <v>0.42565082250148245</v>
      </c>
      <c r="AA13" s="4">
        <f t="shared" si="2"/>
        <v>0.25686721291665371</v>
      </c>
      <c r="AB13" s="4">
        <f t="shared" si="2"/>
        <v>0.13681012326750519</v>
      </c>
      <c r="AC13" s="4">
        <f t="shared" si="2"/>
        <v>6.7110874479454963E-2</v>
      </c>
      <c r="AD13" s="4">
        <f t="shared" si="2"/>
        <v>3.1457259534366733E-2</v>
      </c>
      <c r="AE13" s="4">
        <f t="shared" si="2"/>
        <v>1.4415036328376152E-2</v>
      </c>
      <c r="AF13" s="4">
        <f t="shared" si="2"/>
        <v>6.5354046097677587E-3</v>
      </c>
      <c r="AG13" s="4">
        <f t="shared" si="3"/>
        <v>2.9484794129613912E-3</v>
      </c>
      <c r="AH13" s="4">
        <f t="shared" si="3"/>
        <v>1.3272611400154677E-3</v>
      </c>
      <c r="AI13" s="4">
        <f t="shared" si="3"/>
        <v>5.9686760508315118E-4</v>
      </c>
      <c r="AJ13" s="4">
        <f t="shared" si="3"/>
        <v>2.6828910235687786E-4</v>
      </c>
      <c r="AK13" s="4">
        <f t="shared" si="3"/>
        <v>1.2057010364630028E-4</v>
      </c>
      <c r="AL13" s="4">
        <f t="shared" si="3"/>
        <v>5.4179686630462243E-5</v>
      </c>
      <c r="AM13" s="4">
        <f t="shared" si="3"/>
        <v>2.4345319607821381E-5</v>
      </c>
      <c r="AN13" s="4">
        <f t="shared" si="3"/>
        <v>1.0939222225947454E-5</v>
      </c>
      <c r="AO13" s="4">
        <f t="shared" si="3"/>
        <v>4.9153427019721363E-6</v>
      </c>
      <c r="AP13" s="4">
        <f t="shared" si="3"/>
        <v>2.2086125700537806E-6</v>
      </c>
      <c r="AQ13" s="4">
        <f t="shared" si="3"/>
        <v>9.9239495610081718E-7</v>
      </c>
      <c r="AR13" s="4">
        <f t="shared" si="3"/>
        <v>4.4591207160049606E-7</v>
      </c>
    </row>
    <row r="14" spans="1:44" x14ac:dyDescent="0.35">
      <c r="A14" s="24" t="s">
        <v>25</v>
      </c>
      <c r="B14" s="60">
        <v>-5000</v>
      </c>
      <c r="C14" s="61">
        <v>-5000</v>
      </c>
      <c r="D14" s="1" t="s">
        <v>15</v>
      </c>
      <c r="L14" s="54">
        <v>10</v>
      </c>
      <c r="M14" s="37">
        <v>0</v>
      </c>
      <c r="N14" s="37">
        <v>1</v>
      </c>
      <c r="O14" s="37">
        <v>0.8</v>
      </c>
      <c r="P14" s="55">
        <v>0.8</v>
      </c>
      <c r="Q14" s="4">
        <f t="shared" si="2"/>
        <v>0.99833888850453545</v>
      </c>
      <c r="R14" s="4">
        <f t="shared" si="2"/>
        <v>0.99685076919798865</v>
      </c>
      <c r="S14" s="4">
        <f t="shared" si="2"/>
        <v>0.99403190884795445</v>
      </c>
      <c r="T14" s="4">
        <f t="shared" si="2"/>
        <v>0.98870000318069773</v>
      </c>
      <c r="U14" s="4">
        <f t="shared" si="2"/>
        <v>0.97864686803622136</v>
      </c>
      <c r="V14" s="4">
        <f t="shared" si="2"/>
        <v>0.95982538467280665</v>
      </c>
      <c r="W14" s="4">
        <f t="shared" si="2"/>
        <v>0.92512705484006208</v>
      </c>
      <c r="X14" s="4">
        <f t="shared" si="2"/>
        <v>0.86323195930299401</v>
      </c>
      <c r="Y14" s="4">
        <f t="shared" si="2"/>
        <v>0.76000101689477173</v>
      </c>
      <c r="Z14" s="4">
        <f t="shared" si="2"/>
        <v>0.60815171131295576</v>
      </c>
      <c r="AA14" s="4">
        <f t="shared" si="2"/>
        <v>0.42565082250148245</v>
      </c>
      <c r="AB14" s="4">
        <f t="shared" si="2"/>
        <v>0.25686721291665371</v>
      </c>
      <c r="AC14" s="4">
        <f t="shared" si="2"/>
        <v>0.13681012326750519</v>
      </c>
      <c r="AD14" s="4">
        <f t="shared" si="2"/>
        <v>6.7110874479454963E-2</v>
      </c>
      <c r="AE14" s="4">
        <f t="shared" si="2"/>
        <v>3.1457259534366733E-2</v>
      </c>
      <c r="AF14" s="4">
        <f t="shared" si="2"/>
        <v>1.4415036328376152E-2</v>
      </c>
      <c r="AG14" s="4">
        <f t="shared" si="3"/>
        <v>6.5354046097677587E-3</v>
      </c>
      <c r="AH14" s="4">
        <f t="shared" si="3"/>
        <v>2.9484794129613912E-3</v>
      </c>
      <c r="AI14" s="4">
        <f t="shared" si="3"/>
        <v>1.3272611400154677E-3</v>
      </c>
      <c r="AJ14" s="4">
        <f t="shared" si="3"/>
        <v>5.9686760508315118E-4</v>
      </c>
      <c r="AK14" s="4">
        <f t="shared" si="3"/>
        <v>2.6828910235687786E-4</v>
      </c>
      <c r="AL14" s="4">
        <f t="shared" si="3"/>
        <v>1.2057010364630028E-4</v>
      </c>
      <c r="AM14" s="4">
        <f t="shared" si="3"/>
        <v>5.4179686630462243E-5</v>
      </c>
      <c r="AN14" s="4">
        <f t="shared" si="3"/>
        <v>2.4345319607821381E-5</v>
      </c>
      <c r="AO14" s="4">
        <f t="shared" si="3"/>
        <v>1.0939222225947454E-5</v>
      </c>
      <c r="AP14" s="4">
        <f t="shared" si="3"/>
        <v>4.9153427019721363E-6</v>
      </c>
      <c r="AQ14" s="4">
        <f t="shared" si="3"/>
        <v>2.2086125700537806E-6</v>
      </c>
      <c r="AR14" s="4">
        <f t="shared" si="3"/>
        <v>9.9239495610081718E-7</v>
      </c>
    </row>
    <row r="15" spans="1:44" x14ac:dyDescent="0.35">
      <c r="A15" s="24" t="s">
        <v>79</v>
      </c>
      <c r="B15" s="45">
        <v>0.06</v>
      </c>
      <c r="C15" s="46">
        <v>0.06</v>
      </c>
      <c r="D15" s="1" t="s">
        <v>57</v>
      </c>
      <c r="L15" s="54">
        <v>11</v>
      </c>
      <c r="M15" s="37">
        <v>0</v>
      </c>
      <c r="N15" s="37">
        <v>1</v>
      </c>
      <c r="O15" s="37">
        <v>0.8</v>
      </c>
      <c r="P15" s="55">
        <v>0.8</v>
      </c>
      <c r="Q15" s="4">
        <f t="shared" si="2"/>
        <v>0.99912397907241213</v>
      </c>
      <c r="R15" s="4">
        <f t="shared" si="2"/>
        <v>0.99833888850453545</v>
      </c>
      <c r="S15" s="4">
        <f t="shared" si="2"/>
        <v>0.99685076919798865</v>
      </c>
      <c r="T15" s="4">
        <f t="shared" si="2"/>
        <v>0.99403190884795445</v>
      </c>
      <c r="U15" s="4">
        <f t="shared" si="2"/>
        <v>0.98870000318069773</v>
      </c>
      <c r="V15" s="4">
        <f t="shared" si="2"/>
        <v>0.97864686803622136</v>
      </c>
      <c r="W15" s="4">
        <f t="shared" si="2"/>
        <v>0.95982538467280665</v>
      </c>
      <c r="X15" s="4">
        <f t="shared" si="2"/>
        <v>0.92512705484006208</v>
      </c>
      <c r="Y15" s="4">
        <f t="shared" si="2"/>
        <v>0.86323195930299401</v>
      </c>
      <c r="Z15" s="4">
        <f t="shared" si="2"/>
        <v>0.76000101689477173</v>
      </c>
      <c r="AA15" s="4">
        <f t="shared" si="2"/>
        <v>0.60815171131295576</v>
      </c>
      <c r="AB15" s="4">
        <f t="shared" si="2"/>
        <v>0.42565082250148245</v>
      </c>
      <c r="AC15" s="4">
        <f t="shared" si="2"/>
        <v>0.25686721291665371</v>
      </c>
      <c r="AD15" s="4">
        <f t="shared" si="2"/>
        <v>0.13681012326750519</v>
      </c>
      <c r="AE15" s="4">
        <f t="shared" si="2"/>
        <v>6.7110874479454963E-2</v>
      </c>
      <c r="AF15" s="4">
        <f t="shared" si="2"/>
        <v>3.1457259534366733E-2</v>
      </c>
      <c r="AG15" s="4">
        <f t="shared" si="3"/>
        <v>1.4415036328376152E-2</v>
      </c>
      <c r="AH15" s="4">
        <f t="shared" si="3"/>
        <v>6.5354046097677587E-3</v>
      </c>
      <c r="AI15" s="4">
        <f t="shared" si="3"/>
        <v>2.9484794129613912E-3</v>
      </c>
      <c r="AJ15" s="4">
        <f t="shared" si="3"/>
        <v>1.3272611400154677E-3</v>
      </c>
      <c r="AK15" s="4">
        <f t="shared" si="3"/>
        <v>5.9686760508315118E-4</v>
      </c>
      <c r="AL15" s="4">
        <f t="shared" si="3"/>
        <v>2.6828910235687786E-4</v>
      </c>
      <c r="AM15" s="4">
        <f t="shared" si="3"/>
        <v>1.2057010364630028E-4</v>
      </c>
      <c r="AN15" s="4">
        <f t="shared" si="3"/>
        <v>5.4179686630462243E-5</v>
      </c>
      <c r="AO15" s="4">
        <f t="shared" si="3"/>
        <v>2.4345319607821381E-5</v>
      </c>
      <c r="AP15" s="4">
        <f t="shared" si="3"/>
        <v>1.0939222225947454E-5</v>
      </c>
      <c r="AQ15" s="4">
        <f t="shared" si="3"/>
        <v>4.9153427019721363E-6</v>
      </c>
      <c r="AR15" s="4">
        <f t="shared" si="3"/>
        <v>2.2086125700537806E-6</v>
      </c>
    </row>
    <row r="16" spans="1:44" x14ac:dyDescent="0.35">
      <c r="A16" s="24" t="s">
        <v>37</v>
      </c>
      <c r="B16" s="43">
        <v>85000</v>
      </c>
      <c r="C16" s="44">
        <v>85000</v>
      </c>
      <c r="D16" s="1" t="s">
        <v>38</v>
      </c>
      <c r="L16" s="54">
        <v>12</v>
      </c>
      <c r="M16" s="37">
        <v>0</v>
      </c>
      <c r="N16" s="37">
        <v>1</v>
      </c>
      <c r="O16" s="37">
        <v>0.8</v>
      </c>
      <c r="P16" s="55">
        <v>0.8</v>
      </c>
      <c r="Q16" s="4">
        <f t="shared" si="2"/>
        <v>0.9995380501308736</v>
      </c>
      <c r="R16" s="4">
        <f t="shared" si="2"/>
        <v>0.99912397907241213</v>
      </c>
      <c r="S16" s="4">
        <f t="shared" si="2"/>
        <v>0.99833888850453545</v>
      </c>
      <c r="T16" s="4">
        <f t="shared" si="2"/>
        <v>0.99685076919798865</v>
      </c>
      <c r="U16" s="4">
        <f t="shared" si="2"/>
        <v>0.99403190884795445</v>
      </c>
      <c r="V16" s="4">
        <f t="shared" si="2"/>
        <v>0.98870000318069773</v>
      </c>
      <c r="W16" s="4">
        <f t="shared" si="2"/>
        <v>0.97864686803622136</v>
      </c>
      <c r="X16" s="4">
        <f t="shared" si="2"/>
        <v>0.95982538467280665</v>
      </c>
      <c r="Y16" s="4">
        <f t="shared" si="2"/>
        <v>0.92512705484006208</v>
      </c>
      <c r="Z16" s="4">
        <f t="shared" si="2"/>
        <v>0.86323195930299401</v>
      </c>
      <c r="AA16" s="4">
        <f t="shared" si="2"/>
        <v>0.76000101689477173</v>
      </c>
      <c r="AB16" s="4">
        <f t="shared" si="2"/>
        <v>0.60815171131295576</v>
      </c>
      <c r="AC16" s="4">
        <f t="shared" si="2"/>
        <v>0.42565082250148245</v>
      </c>
      <c r="AD16" s="4">
        <f t="shared" si="2"/>
        <v>0.25686721291665371</v>
      </c>
      <c r="AE16" s="4">
        <f t="shared" si="2"/>
        <v>0.13681012326750519</v>
      </c>
      <c r="AF16" s="4">
        <f t="shared" si="2"/>
        <v>6.7110874479454963E-2</v>
      </c>
      <c r="AG16" s="4">
        <f t="shared" si="3"/>
        <v>3.1457259534366733E-2</v>
      </c>
      <c r="AH16" s="4">
        <f t="shared" si="3"/>
        <v>1.4415036328376152E-2</v>
      </c>
      <c r="AI16" s="4">
        <f t="shared" si="3"/>
        <v>6.5354046097677587E-3</v>
      </c>
      <c r="AJ16" s="4">
        <f t="shared" si="3"/>
        <v>2.9484794129613912E-3</v>
      </c>
      <c r="AK16" s="4">
        <f t="shared" si="3"/>
        <v>1.3272611400154677E-3</v>
      </c>
      <c r="AL16" s="4">
        <f t="shared" si="3"/>
        <v>5.9686760508315118E-4</v>
      </c>
      <c r="AM16" s="4">
        <f t="shared" si="3"/>
        <v>2.6828910235687786E-4</v>
      </c>
      <c r="AN16" s="4">
        <f t="shared" si="3"/>
        <v>1.2057010364630028E-4</v>
      </c>
      <c r="AO16" s="4">
        <f t="shared" si="3"/>
        <v>5.4179686630462243E-5</v>
      </c>
      <c r="AP16" s="4">
        <f t="shared" si="3"/>
        <v>2.4345319607821381E-5</v>
      </c>
      <c r="AQ16" s="4">
        <f t="shared" si="3"/>
        <v>1.0939222225947454E-5</v>
      </c>
      <c r="AR16" s="4">
        <f t="shared" si="3"/>
        <v>4.9153427019721363E-6</v>
      </c>
    </row>
    <row r="17" spans="1:44" x14ac:dyDescent="0.35">
      <c r="A17" s="24" t="s">
        <v>52</v>
      </c>
      <c r="B17" s="43">
        <v>20000</v>
      </c>
      <c r="C17" s="44">
        <v>20000</v>
      </c>
      <c r="D17" s="1" t="s">
        <v>38</v>
      </c>
      <c r="L17" s="54">
        <v>13</v>
      </c>
      <c r="M17" s="37">
        <v>0</v>
      </c>
      <c r="N17" s="37">
        <v>1</v>
      </c>
      <c r="O17" s="37">
        <v>0.8</v>
      </c>
      <c r="P17" s="55">
        <v>0.8</v>
      </c>
      <c r="Q17" s="4">
        <f t="shared" si="2"/>
        <v>0.99975641006619353</v>
      </c>
      <c r="R17" s="4">
        <f t="shared" si="2"/>
        <v>0.9995380501308736</v>
      </c>
      <c r="S17" s="4">
        <f t="shared" si="2"/>
        <v>0.99912397907241213</v>
      </c>
      <c r="T17" s="4">
        <f t="shared" si="2"/>
        <v>0.99833888850453545</v>
      </c>
      <c r="U17" s="4">
        <f t="shared" si="2"/>
        <v>0.99685076919798865</v>
      </c>
      <c r="V17" s="4">
        <f t="shared" si="2"/>
        <v>0.99403190884795445</v>
      </c>
      <c r="W17" s="4">
        <f t="shared" si="2"/>
        <v>0.98870000318069773</v>
      </c>
      <c r="X17" s="4">
        <f t="shared" si="2"/>
        <v>0.97864686803622136</v>
      </c>
      <c r="Y17" s="4">
        <f t="shared" si="2"/>
        <v>0.95982538467280665</v>
      </c>
      <c r="Z17" s="4">
        <f t="shared" si="2"/>
        <v>0.92512705484006208</v>
      </c>
      <c r="AA17" s="4">
        <f t="shared" si="2"/>
        <v>0.86323195930299401</v>
      </c>
      <c r="AB17" s="4">
        <f t="shared" si="2"/>
        <v>0.76000101689477173</v>
      </c>
      <c r="AC17" s="4">
        <f t="shared" si="2"/>
        <v>0.60815171131295576</v>
      </c>
      <c r="AD17" s="4">
        <f t="shared" si="2"/>
        <v>0.42565082250148245</v>
      </c>
      <c r="AE17" s="4">
        <f t="shared" si="2"/>
        <v>0.25686721291665371</v>
      </c>
      <c r="AF17" s="4">
        <f t="shared" si="2"/>
        <v>0.13681012326750519</v>
      </c>
      <c r="AG17" s="4">
        <f t="shared" si="3"/>
        <v>6.7110874479454963E-2</v>
      </c>
      <c r="AH17" s="4">
        <f t="shared" si="3"/>
        <v>3.1457259534366733E-2</v>
      </c>
      <c r="AI17" s="4">
        <f t="shared" si="3"/>
        <v>1.4415036328376152E-2</v>
      </c>
      <c r="AJ17" s="4">
        <f t="shared" si="3"/>
        <v>6.5354046097677587E-3</v>
      </c>
      <c r="AK17" s="4">
        <f t="shared" si="3"/>
        <v>2.9484794129613912E-3</v>
      </c>
      <c r="AL17" s="4">
        <f t="shared" si="3"/>
        <v>1.3272611400154677E-3</v>
      </c>
      <c r="AM17" s="4">
        <f t="shared" si="3"/>
        <v>5.9686760508315118E-4</v>
      </c>
      <c r="AN17" s="4">
        <f t="shared" si="3"/>
        <v>2.6828910235687786E-4</v>
      </c>
      <c r="AO17" s="4">
        <f t="shared" si="3"/>
        <v>1.2057010364630028E-4</v>
      </c>
      <c r="AP17" s="4">
        <f t="shared" si="3"/>
        <v>5.4179686630462243E-5</v>
      </c>
      <c r="AQ17" s="4">
        <f t="shared" si="3"/>
        <v>2.4345319607821381E-5</v>
      </c>
      <c r="AR17" s="4">
        <f t="shared" si="3"/>
        <v>1.0939222225947454E-5</v>
      </c>
    </row>
    <row r="18" spans="1:44" x14ac:dyDescent="0.35">
      <c r="A18" s="24" t="s">
        <v>75</v>
      </c>
      <c r="B18" s="45">
        <v>9.5238095238095247E-3</v>
      </c>
      <c r="C18" s="46">
        <v>9.5238095238095247E-3</v>
      </c>
      <c r="D18" s="1" t="s">
        <v>76</v>
      </c>
      <c r="L18" s="54">
        <v>14</v>
      </c>
      <c r="M18" s="37">
        <v>0</v>
      </c>
      <c r="N18" s="37">
        <v>1</v>
      </c>
      <c r="O18" s="37">
        <v>0.8</v>
      </c>
      <c r="P18" s="55">
        <v>0.8</v>
      </c>
      <c r="Q18" s="4">
        <f t="shared" si="2"/>
        <v>0.99987155515136772</v>
      </c>
      <c r="R18" s="4">
        <f t="shared" si="2"/>
        <v>0.99975641006619353</v>
      </c>
      <c r="S18" s="4">
        <f t="shared" si="2"/>
        <v>0.9995380501308736</v>
      </c>
      <c r="T18" s="4">
        <f t="shared" si="2"/>
        <v>0.99912397907241213</v>
      </c>
      <c r="U18" s="4">
        <f t="shared" si="2"/>
        <v>0.99833888850453545</v>
      </c>
      <c r="V18" s="4">
        <f t="shared" si="2"/>
        <v>0.99685076919798865</v>
      </c>
      <c r="W18" s="4">
        <f t="shared" si="2"/>
        <v>0.99403190884795445</v>
      </c>
      <c r="X18" s="4">
        <f t="shared" si="2"/>
        <v>0.98870000318069773</v>
      </c>
      <c r="Y18" s="4">
        <f t="shared" si="2"/>
        <v>0.97864686803622136</v>
      </c>
      <c r="Z18" s="4">
        <f t="shared" si="2"/>
        <v>0.95982538467280665</v>
      </c>
      <c r="AA18" s="4">
        <f t="shared" si="2"/>
        <v>0.92512705484006208</v>
      </c>
      <c r="AB18" s="4">
        <f t="shared" si="2"/>
        <v>0.86323195930299401</v>
      </c>
      <c r="AC18" s="4">
        <f t="shared" si="2"/>
        <v>0.76000101689477173</v>
      </c>
      <c r="AD18" s="4">
        <f t="shared" si="2"/>
        <v>0.60815171131295576</v>
      </c>
      <c r="AE18" s="4">
        <f t="shared" si="2"/>
        <v>0.42565082250148245</v>
      </c>
      <c r="AF18" s="4">
        <f t="shared" si="2"/>
        <v>0.25686721291665371</v>
      </c>
      <c r="AG18" s="4">
        <f t="shared" si="3"/>
        <v>0.13681012326750519</v>
      </c>
      <c r="AH18" s="4">
        <f t="shared" si="3"/>
        <v>6.7110874479454963E-2</v>
      </c>
      <c r="AI18" s="4">
        <f t="shared" si="3"/>
        <v>3.1457259534366733E-2</v>
      </c>
      <c r="AJ18" s="4">
        <f t="shared" si="3"/>
        <v>1.4415036328376152E-2</v>
      </c>
      <c r="AK18" s="4">
        <f t="shared" si="3"/>
        <v>6.5354046097677587E-3</v>
      </c>
      <c r="AL18" s="4">
        <f t="shared" si="3"/>
        <v>2.9484794129613912E-3</v>
      </c>
      <c r="AM18" s="4">
        <f t="shared" si="3"/>
        <v>1.3272611400154677E-3</v>
      </c>
      <c r="AN18" s="4">
        <f t="shared" si="3"/>
        <v>5.9686760508315118E-4</v>
      </c>
      <c r="AO18" s="4">
        <f t="shared" si="3"/>
        <v>2.6828910235687786E-4</v>
      </c>
      <c r="AP18" s="4">
        <f t="shared" si="3"/>
        <v>1.2057010364630028E-4</v>
      </c>
      <c r="AQ18" s="4">
        <f t="shared" si="3"/>
        <v>5.4179686630462243E-5</v>
      </c>
      <c r="AR18" s="4">
        <f t="shared" si="3"/>
        <v>2.4345319607821381E-5</v>
      </c>
    </row>
    <row r="19" spans="1:44" x14ac:dyDescent="0.35">
      <c r="A19" s="24" t="s">
        <v>59</v>
      </c>
      <c r="B19" s="47">
        <v>2.8</v>
      </c>
      <c r="C19" s="48">
        <v>2.8</v>
      </c>
      <c r="D19" s="1" t="s">
        <v>60</v>
      </c>
      <c r="L19" s="54">
        <v>15</v>
      </c>
      <c r="M19" s="37">
        <v>0</v>
      </c>
      <c r="N19" s="37">
        <v>1</v>
      </c>
      <c r="O19" s="37">
        <v>0.8</v>
      </c>
      <c r="P19" s="55">
        <v>0.8</v>
      </c>
      <c r="Q19" s="4">
        <f t="shared" si="2"/>
        <v>0.99993227159641906</v>
      </c>
      <c r="R19" s="4">
        <f t="shared" si="2"/>
        <v>0.99987155515136772</v>
      </c>
      <c r="S19" s="4">
        <f t="shared" si="2"/>
        <v>0.99975641006619353</v>
      </c>
      <c r="T19" s="4">
        <f t="shared" si="2"/>
        <v>0.9995380501308736</v>
      </c>
      <c r="U19" s="4">
        <f t="shared" si="2"/>
        <v>0.99912397907241213</v>
      </c>
      <c r="V19" s="4">
        <f t="shared" si="2"/>
        <v>0.99833888850453545</v>
      </c>
      <c r="W19" s="4">
        <f t="shared" si="2"/>
        <v>0.99685076919798865</v>
      </c>
      <c r="X19" s="4">
        <f t="shared" si="2"/>
        <v>0.99403190884795445</v>
      </c>
      <c r="Y19" s="4">
        <f t="shared" si="2"/>
        <v>0.98870000318069773</v>
      </c>
      <c r="Z19" s="4">
        <f t="shared" si="2"/>
        <v>0.97864686803622136</v>
      </c>
      <c r="AA19" s="4">
        <f t="shared" si="2"/>
        <v>0.95982538467280665</v>
      </c>
      <c r="AB19" s="4">
        <f t="shared" si="2"/>
        <v>0.92512705484006208</v>
      </c>
      <c r="AC19" s="4">
        <f t="shared" si="2"/>
        <v>0.86323195930299401</v>
      </c>
      <c r="AD19" s="4">
        <f t="shared" si="2"/>
        <v>0.76000101689477173</v>
      </c>
      <c r="AE19" s="4">
        <f t="shared" si="2"/>
        <v>0.60815171131295576</v>
      </c>
      <c r="AF19" s="4">
        <f t="shared" si="2"/>
        <v>0.42565082250148245</v>
      </c>
      <c r="AG19" s="4">
        <f t="shared" si="3"/>
        <v>0.25686721291665371</v>
      </c>
      <c r="AH19" s="4">
        <f t="shared" si="3"/>
        <v>0.13681012326750519</v>
      </c>
      <c r="AI19" s="4">
        <f t="shared" si="3"/>
        <v>6.7110874479454963E-2</v>
      </c>
      <c r="AJ19" s="4">
        <f t="shared" si="3"/>
        <v>3.1457259534366733E-2</v>
      </c>
      <c r="AK19" s="4">
        <f t="shared" si="3"/>
        <v>1.4415036328376152E-2</v>
      </c>
      <c r="AL19" s="4">
        <f t="shared" si="3"/>
        <v>6.5354046097677587E-3</v>
      </c>
      <c r="AM19" s="4">
        <f t="shared" si="3"/>
        <v>2.9484794129613912E-3</v>
      </c>
      <c r="AN19" s="4">
        <f t="shared" si="3"/>
        <v>1.3272611400154677E-3</v>
      </c>
      <c r="AO19" s="4">
        <f t="shared" si="3"/>
        <v>5.9686760508315118E-4</v>
      </c>
      <c r="AP19" s="4">
        <f t="shared" si="3"/>
        <v>2.6828910235687786E-4</v>
      </c>
      <c r="AQ19" s="4">
        <f t="shared" si="3"/>
        <v>1.2057010364630028E-4</v>
      </c>
      <c r="AR19" s="4">
        <f t="shared" si="3"/>
        <v>5.4179686630462243E-5</v>
      </c>
    </row>
    <row r="20" spans="1:44" x14ac:dyDescent="0.35">
      <c r="A20" s="24" t="s">
        <v>67</v>
      </c>
      <c r="B20" s="45">
        <v>0.15</v>
      </c>
      <c r="C20" s="46">
        <v>0.15</v>
      </c>
      <c r="D20" s="1" t="s">
        <v>68</v>
      </c>
      <c r="L20" s="54">
        <v>16</v>
      </c>
      <c r="M20" s="37">
        <v>0</v>
      </c>
      <c r="N20" s="37">
        <v>1</v>
      </c>
      <c r="O20" s="37">
        <v>0.8</v>
      </c>
      <c r="P20" s="55">
        <v>0.8</v>
      </c>
      <c r="Q20" s="4">
        <f t="shared" si="2"/>
        <v>0.99996428722923425</v>
      </c>
      <c r="R20" s="4">
        <f t="shared" si="2"/>
        <v>0.99993227159641906</v>
      </c>
      <c r="S20" s="4">
        <f t="shared" si="2"/>
        <v>0.99987155515136772</v>
      </c>
      <c r="T20" s="4">
        <f t="shared" si="2"/>
        <v>0.99975641006619353</v>
      </c>
      <c r="U20" s="4">
        <f t="shared" si="2"/>
        <v>0.9995380501308736</v>
      </c>
      <c r="V20" s="4">
        <f t="shared" si="2"/>
        <v>0.99912397907241213</v>
      </c>
      <c r="W20" s="4">
        <f t="shared" si="2"/>
        <v>0.99833888850453545</v>
      </c>
      <c r="X20" s="4">
        <f t="shared" si="2"/>
        <v>0.99685076919798865</v>
      </c>
      <c r="Y20" s="4">
        <f t="shared" si="2"/>
        <v>0.99403190884795445</v>
      </c>
      <c r="Z20" s="4">
        <f t="shared" si="2"/>
        <v>0.98870000318069773</v>
      </c>
      <c r="AA20" s="4">
        <f t="shared" si="2"/>
        <v>0.97864686803622136</v>
      </c>
      <c r="AB20" s="4">
        <f t="shared" si="2"/>
        <v>0.95982538467280665</v>
      </c>
      <c r="AC20" s="4">
        <f t="shared" si="2"/>
        <v>0.92512705484006208</v>
      </c>
      <c r="AD20" s="4">
        <f t="shared" si="2"/>
        <v>0.86323195930299401</v>
      </c>
      <c r="AE20" s="4">
        <f t="shared" si="2"/>
        <v>0.76000101689477173</v>
      </c>
      <c r="AF20" s="4">
        <f t="shared" si="2"/>
        <v>0.60815171131295576</v>
      </c>
      <c r="AG20" s="4">
        <f t="shared" si="3"/>
        <v>0.42565082250148245</v>
      </c>
      <c r="AH20" s="4">
        <f t="shared" si="3"/>
        <v>0.25686721291665371</v>
      </c>
      <c r="AI20" s="4">
        <f t="shared" si="3"/>
        <v>0.13681012326750519</v>
      </c>
      <c r="AJ20" s="4">
        <f t="shared" si="3"/>
        <v>6.7110874479454963E-2</v>
      </c>
      <c r="AK20" s="4">
        <f t="shared" si="3"/>
        <v>3.1457259534366733E-2</v>
      </c>
      <c r="AL20" s="4">
        <f t="shared" si="3"/>
        <v>1.4415036328376152E-2</v>
      </c>
      <c r="AM20" s="4">
        <f t="shared" si="3"/>
        <v>6.5354046097677587E-3</v>
      </c>
      <c r="AN20" s="4">
        <f t="shared" si="3"/>
        <v>2.9484794129613912E-3</v>
      </c>
      <c r="AO20" s="4">
        <f t="shared" si="3"/>
        <v>1.3272611400154677E-3</v>
      </c>
      <c r="AP20" s="4">
        <f t="shared" si="3"/>
        <v>5.9686760508315118E-4</v>
      </c>
      <c r="AQ20" s="4">
        <f t="shared" si="3"/>
        <v>2.6828910235687786E-4</v>
      </c>
      <c r="AR20" s="4">
        <f t="shared" si="3"/>
        <v>1.2057010364630028E-4</v>
      </c>
    </row>
    <row r="21" spans="1:44" x14ac:dyDescent="0.35">
      <c r="A21" s="24" t="s">
        <v>41</v>
      </c>
      <c r="B21" s="43">
        <v>5</v>
      </c>
      <c r="C21" s="44">
        <v>5</v>
      </c>
      <c r="D21" s="1" t="s">
        <v>42</v>
      </c>
      <c r="L21" s="54">
        <v>17</v>
      </c>
      <c r="M21" s="37">
        <v>0</v>
      </c>
      <c r="N21" s="37">
        <v>1</v>
      </c>
      <c r="O21" s="37">
        <v>0.8</v>
      </c>
      <c r="P21" s="55">
        <v>0.8</v>
      </c>
      <c r="Q21" s="4">
        <f t="shared" si="2"/>
        <v>0.99998116890363087</v>
      </c>
      <c r="R21" s="4">
        <f t="shared" si="2"/>
        <v>0.99996428722923425</v>
      </c>
      <c r="S21" s="4">
        <f t="shared" si="2"/>
        <v>0.99993227159641906</v>
      </c>
      <c r="T21" s="4">
        <f t="shared" si="2"/>
        <v>0.99987155515136772</v>
      </c>
      <c r="U21" s="4">
        <f t="shared" si="2"/>
        <v>0.99975641006619353</v>
      </c>
      <c r="V21" s="4">
        <f t="shared" si="2"/>
        <v>0.9995380501308736</v>
      </c>
      <c r="W21" s="4">
        <f t="shared" si="2"/>
        <v>0.99912397907241213</v>
      </c>
      <c r="X21" s="4">
        <f t="shared" si="2"/>
        <v>0.99833888850453545</v>
      </c>
      <c r="Y21" s="4">
        <f t="shared" si="2"/>
        <v>0.99685076919798865</v>
      </c>
      <c r="Z21" s="4">
        <f t="shared" si="2"/>
        <v>0.99403190884795445</v>
      </c>
      <c r="AA21" s="4">
        <f t="shared" si="2"/>
        <v>0.98870000318069773</v>
      </c>
      <c r="AB21" s="4">
        <f t="shared" si="2"/>
        <v>0.97864686803622136</v>
      </c>
      <c r="AC21" s="4">
        <f t="shared" si="2"/>
        <v>0.95982538467280665</v>
      </c>
      <c r="AD21" s="4">
        <f t="shared" si="2"/>
        <v>0.92512705484006208</v>
      </c>
      <c r="AE21" s="4">
        <f t="shared" si="2"/>
        <v>0.86323195930299401</v>
      </c>
      <c r="AF21" s="4">
        <f t="shared" si="2"/>
        <v>0.76000101689477173</v>
      </c>
      <c r="AG21" s="4">
        <f t="shared" si="3"/>
        <v>0.60815171131295576</v>
      </c>
      <c r="AH21" s="4">
        <f t="shared" si="3"/>
        <v>0.42565082250148245</v>
      </c>
      <c r="AI21" s="4">
        <f t="shared" si="3"/>
        <v>0.25686721291665371</v>
      </c>
      <c r="AJ21" s="4">
        <f t="shared" si="3"/>
        <v>0.13681012326750519</v>
      </c>
      <c r="AK21" s="4">
        <f t="shared" si="3"/>
        <v>6.7110874479454963E-2</v>
      </c>
      <c r="AL21" s="4">
        <f t="shared" si="3"/>
        <v>3.1457259534366733E-2</v>
      </c>
      <c r="AM21" s="4">
        <f t="shared" si="3"/>
        <v>1.4415036328376152E-2</v>
      </c>
      <c r="AN21" s="4">
        <f t="shared" si="3"/>
        <v>6.5354046097677587E-3</v>
      </c>
      <c r="AO21" s="4">
        <f t="shared" si="3"/>
        <v>2.9484794129613912E-3</v>
      </c>
      <c r="AP21" s="4">
        <f t="shared" si="3"/>
        <v>1.3272611400154677E-3</v>
      </c>
      <c r="AQ21" s="4">
        <f t="shared" si="3"/>
        <v>5.9686760508315118E-4</v>
      </c>
      <c r="AR21" s="4">
        <f t="shared" si="3"/>
        <v>2.6828910235687786E-4</v>
      </c>
    </row>
    <row r="22" spans="1:44" x14ac:dyDescent="0.35">
      <c r="A22" s="24" t="s">
        <v>70</v>
      </c>
      <c r="B22" s="43">
        <v>12</v>
      </c>
      <c r="C22" s="44">
        <v>12</v>
      </c>
      <c r="D22" s="1" t="s">
        <v>42</v>
      </c>
      <c r="L22" s="54">
        <v>18</v>
      </c>
      <c r="M22" s="37">
        <v>0</v>
      </c>
      <c r="N22" s="37">
        <v>1</v>
      </c>
      <c r="O22" s="37">
        <v>0.8</v>
      </c>
      <c r="P22" s="55">
        <v>0.8</v>
      </c>
      <c r="Q22" s="4">
        <f t="shared" si="2"/>
        <v>0.99999007050012179</v>
      </c>
      <c r="R22" s="4">
        <f t="shared" si="2"/>
        <v>0.99998116890363087</v>
      </c>
      <c r="S22" s="4">
        <f t="shared" si="2"/>
        <v>0.99996428722923425</v>
      </c>
      <c r="T22" s="4">
        <f t="shared" si="2"/>
        <v>0.99993227159641906</v>
      </c>
      <c r="U22" s="4">
        <f t="shared" si="2"/>
        <v>0.99987155515136772</v>
      </c>
      <c r="V22" s="4">
        <f t="shared" si="2"/>
        <v>0.99975641006619353</v>
      </c>
      <c r="W22" s="4">
        <f t="shared" si="2"/>
        <v>0.9995380501308736</v>
      </c>
      <c r="X22" s="4">
        <f t="shared" si="2"/>
        <v>0.99912397907241213</v>
      </c>
      <c r="Y22" s="4">
        <f t="shared" si="2"/>
        <v>0.99833888850453545</v>
      </c>
      <c r="Z22" s="4">
        <f t="shared" si="2"/>
        <v>0.99685076919798865</v>
      </c>
      <c r="AA22" s="4">
        <f t="shared" si="2"/>
        <v>0.99403190884795445</v>
      </c>
      <c r="AB22" s="4">
        <f t="shared" si="2"/>
        <v>0.98870000318069773</v>
      </c>
      <c r="AC22" s="4">
        <f t="shared" si="2"/>
        <v>0.97864686803622136</v>
      </c>
      <c r="AD22" s="4">
        <f t="shared" si="2"/>
        <v>0.95982538467280665</v>
      </c>
      <c r="AE22" s="4">
        <f t="shared" si="2"/>
        <v>0.92512705484006208</v>
      </c>
      <c r="AF22" s="4">
        <f t="shared" si="2"/>
        <v>0.86323195930299401</v>
      </c>
      <c r="AG22" s="4">
        <f t="shared" si="3"/>
        <v>0.76000101689477173</v>
      </c>
      <c r="AH22" s="4">
        <f t="shared" si="3"/>
        <v>0.60815171131295576</v>
      </c>
      <c r="AI22" s="4">
        <f t="shared" si="3"/>
        <v>0.42565082250148245</v>
      </c>
      <c r="AJ22" s="4">
        <f t="shared" si="3"/>
        <v>0.25686721291665371</v>
      </c>
      <c r="AK22" s="4">
        <f t="shared" si="3"/>
        <v>0.13681012326750519</v>
      </c>
      <c r="AL22" s="4">
        <f t="shared" si="3"/>
        <v>6.7110874479454963E-2</v>
      </c>
      <c r="AM22" s="4">
        <f t="shared" si="3"/>
        <v>3.1457259534366733E-2</v>
      </c>
      <c r="AN22" s="4">
        <f t="shared" si="3"/>
        <v>1.4415036328376152E-2</v>
      </c>
      <c r="AO22" s="4">
        <f t="shared" si="3"/>
        <v>6.5354046097677587E-3</v>
      </c>
      <c r="AP22" s="4">
        <f t="shared" si="3"/>
        <v>2.9484794129613912E-3</v>
      </c>
      <c r="AQ22" s="4">
        <f t="shared" si="3"/>
        <v>1.3272611400154677E-3</v>
      </c>
      <c r="AR22" s="4">
        <f t="shared" si="3"/>
        <v>5.9686760508315118E-4</v>
      </c>
    </row>
    <row r="23" spans="1:44" x14ac:dyDescent="0.35">
      <c r="A23" s="24" t="s">
        <v>205</v>
      </c>
      <c r="B23" s="43">
        <v>29</v>
      </c>
      <c r="C23" s="44">
        <v>29</v>
      </c>
      <c r="D23" s="1" t="s">
        <v>49</v>
      </c>
      <c r="L23" s="54">
        <v>19</v>
      </c>
      <c r="M23" s="37">
        <v>0</v>
      </c>
      <c r="N23" s="37">
        <v>1</v>
      </c>
      <c r="O23" s="37">
        <v>0.8</v>
      </c>
      <c r="P23" s="55">
        <v>0.8</v>
      </c>
      <c r="Q23" s="4">
        <f t="shared" si="2"/>
        <v>0.99999476424865408</v>
      </c>
      <c r="R23" s="4">
        <f t="shared" si="2"/>
        <v>0.99999007050012179</v>
      </c>
      <c r="S23" s="4">
        <f t="shared" si="2"/>
        <v>0.99998116890363087</v>
      </c>
      <c r="T23" s="4">
        <f t="shared" si="2"/>
        <v>0.99996428722923425</v>
      </c>
      <c r="U23" s="4">
        <f t="shared" si="2"/>
        <v>0.99993227159641906</v>
      </c>
      <c r="V23" s="4">
        <f t="shared" si="2"/>
        <v>0.99987155515136772</v>
      </c>
      <c r="W23" s="4">
        <f t="shared" si="2"/>
        <v>0.99975641006619353</v>
      </c>
      <c r="X23" s="4">
        <f t="shared" si="2"/>
        <v>0.9995380501308736</v>
      </c>
      <c r="Y23" s="4">
        <f t="shared" si="2"/>
        <v>0.99912397907241213</v>
      </c>
      <c r="Z23" s="4">
        <f t="shared" si="2"/>
        <v>0.99833888850453545</v>
      </c>
      <c r="AA23" s="4">
        <f t="shared" si="2"/>
        <v>0.99685076919798865</v>
      </c>
      <c r="AB23" s="4">
        <f t="shared" si="2"/>
        <v>0.99403190884795445</v>
      </c>
      <c r="AC23" s="4">
        <f t="shared" si="2"/>
        <v>0.98870000318069773</v>
      </c>
      <c r="AD23" s="4">
        <f t="shared" si="2"/>
        <v>0.97864686803622136</v>
      </c>
      <c r="AE23" s="4">
        <f t="shared" si="2"/>
        <v>0.95982538467280665</v>
      </c>
      <c r="AF23" s="4">
        <f t="shared" si="2"/>
        <v>0.92512705484006208</v>
      </c>
      <c r="AG23" s="4">
        <f t="shared" si="3"/>
        <v>0.86323195930299401</v>
      </c>
      <c r="AH23" s="4">
        <f t="shared" si="3"/>
        <v>0.76000101689477173</v>
      </c>
      <c r="AI23" s="4">
        <f t="shared" si="3"/>
        <v>0.60815171131295576</v>
      </c>
      <c r="AJ23" s="4">
        <f t="shared" si="3"/>
        <v>0.42565082250148245</v>
      </c>
      <c r="AK23" s="4">
        <f t="shared" si="3"/>
        <v>0.25686721291665371</v>
      </c>
      <c r="AL23" s="4">
        <f t="shared" si="3"/>
        <v>0.13681012326750519</v>
      </c>
      <c r="AM23" s="4">
        <f t="shared" si="3"/>
        <v>6.7110874479454963E-2</v>
      </c>
      <c r="AN23" s="4">
        <f t="shared" si="3"/>
        <v>3.1457259534366733E-2</v>
      </c>
      <c r="AO23" s="4">
        <f t="shared" si="3"/>
        <v>1.4415036328376152E-2</v>
      </c>
      <c r="AP23" s="4">
        <f t="shared" si="3"/>
        <v>6.5354046097677587E-3</v>
      </c>
      <c r="AQ23" s="4">
        <f t="shared" si="3"/>
        <v>2.9484794129613912E-3</v>
      </c>
      <c r="AR23" s="4">
        <f t="shared" si="3"/>
        <v>1.3272611400154677E-3</v>
      </c>
    </row>
    <row r="24" spans="1:44" x14ac:dyDescent="0.35">
      <c r="A24" s="24" t="s">
        <v>56</v>
      </c>
      <c r="B24" s="45">
        <v>0.46</v>
      </c>
      <c r="C24" s="46">
        <v>0.46</v>
      </c>
      <c r="D24" s="1" t="s">
        <v>57</v>
      </c>
      <c r="L24" s="54">
        <v>20</v>
      </c>
      <c r="M24" s="37">
        <v>0</v>
      </c>
      <c r="N24" s="37">
        <v>1</v>
      </c>
      <c r="O24" s="37">
        <v>0.8</v>
      </c>
      <c r="P24" s="55">
        <v>0.8</v>
      </c>
      <c r="Q24" s="4">
        <f t="shared" si="2"/>
        <v>0.99999723922767647</v>
      </c>
      <c r="R24" s="4">
        <f t="shared" si="2"/>
        <v>0.99999476424865408</v>
      </c>
      <c r="S24" s="4">
        <f t="shared" si="2"/>
        <v>0.99999007050012179</v>
      </c>
      <c r="T24" s="4">
        <f t="shared" si="2"/>
        <v>0.99998116890363087</v>
      </c>
      <c r="U24" s="4">
        <f t="shared" si="2"/>
        <v>0.99996428722923425</v>
      </c>
      <c r="V24" s="4">
        <f t="shared" si="2"/>
        <v>0.99993227159641906</v>
      </c>
      <c r="W24" s="4">
        <f t="shared" si="2"/>
        <v>0.99987155515136772</v>
      </c>
      <c r="X24" s="4">
        <f t="shared" si="2"/>
        <v>0.99975641006619353</v>
      </c>
      <c r="Y24" s="4">
        <f t="shared" si="2"/>
        <v>0.9995380501308736</v>
      </c>
      <c r="Z24" s="4">
        <f t="shared" si="2"/>
        <v>0.99912397907241213</v>
      </c>
      <c r="AA24" s="4">
        <f t="shared" si="2"/>
        <v>0.99833888850453545</v>
      </c>
      <c r="AB24" s="4">
        <f t="shared" si="2"/>
        <v>0.99685076919798865</v>
      </c>
      <c r="AC24" s="4">
        <f t="shared" si="2"/>
        <v>0.99403190884795445</v>
      </c>
      <c r="AD24" s="4">
        <f t="shared" si="2"/>
        <v>0.98870000318069773</v>
      </c>
      <c r="AE24" s="4">
        <f t="shared" si="2"/>
        <v>0.97864686803622136</v>
      </c>
      <c r="AF24" s="4">
        <f t="shared" si="2"/>
        <v>0.95982538467280665</v>
      </c>
      <c r="AG24" s="4">
        <f t="shared" si="3"/>
        <v>0.92512705484006208</v>
      </c>
      <c r="AH24" s="4">
        <f t="shared" si="3"/>
        <v>0.86323195930299401</v>
      </c>
      <c r="AI24" s="4">
        <f t="shared" si="3"/>
        <v>0.76000101689477173</v>
      </c>
      <c r="AJ24" s="4">
        <f t="shared" si="3"/>
        <v>0.60815171131295576</v>
      </c>
      <c r="AK24" s="4">
        <f t="shared" si="3"/>
        <v>0.42565082250148245</v>
      </c>
      <c r="AL24" s="4">
        <f t="shared" si="3"/>
        <v>0.25686721291665371</v>
      </c>
      <c r="AM24" s="4">
        <f t="shared" si="3"/>
        <v>0.13681012326750519</v>
      </c>
      <c r="AN24" s="4">
        <f t="shared" si="3"/>
        <v>6.7110874479454963E-2</v>
      </c>
      <c r="AO24" s="4">
        <f t="shared" si="3"/>
        <v>3.1457259534366733E-2</v>
      </c>
      <c r="AP24" s="4">
        <f t="shared" si="3"/>
        <v>1.4415036328376152E-2</v>
      </c>
      <c r="AQ24" s="4">
        <f t="shared" si="3"/>
        <v>6.5354046097677587E-3</v>
      </c>
      <c r="AR24" s="4">
        <f t="shared" si="3"/>
        <v>2.9484794129613912E-3</v>
      </c>
    </row>
    <row r="25" spans="1:44" x14ac:dyDescent="0.35">
      <c r="A25" s="24" t="s">
        <v>73</v>
      </c>
      <c r="B25" s="45">
        <v>0.05</v>
      </c>
      <c r="C25" s="46">
        <v>0.05</v>
      </c>
      <c r="D25" s="1" t="s">
        <v>57</v>
      </c>
      <c r="L25" s="54">
        <v>21</v>
      </c>
      <c r="M25" s="37">
        <v>0</v>
      </c>
      <c r="N25" s="37">
        <v>1</v>
      </c>
      <c r="O25" s="37">
        <v>0.8</v>
      </c>
      <c r="P25" s="55">
        <v>0.8</v>
      </c>
      <c r="Q25" s="4">
        <f t="shared" si="2"/>
        <v>0.9999985442655972</v>
      </c>
      <c r="R25" s="4">
        <f t="shared" si="2"/>
        <v>0.99999723922767647</v>
      </c>
      <c r="S25" s="4">
        <f t="shared" si="2"/>
        <v>0.99999476424865408</v>
      </c>
      <c r="T25" s="4">
        <f t="shared" si="2"/>
        <v>0.99999007050012179</v>
      </c>
      <c r="U25" s="4">
        <f t="shared" si="2"/>
        <v>0.99998116890363087</v>
      </c>
      <c r="V25" s="4">
        <f t="shared" si="2"/>
        <v>0.99996428722923425</v>
      </c>
      <c r="W25" s="4">
        <f t="shared" si="2"/>
        <v>0.99993227159641906</v>
      </c>
      <c r="X25" s="4">
        <f t="shared" si="2"/>
        <v>0.99987155515136772</v>
      </c>
      <c r="Y25" s="4">
        <f t="shared" si="2"/>
        <v>0.99975641006619353</v>
      </c>
      <c r="Z25" s="4">
        <f t="shared" si="2"/>
        <v>0.9995380501308736</v>
      </c>
      <c r="AA25" s="4">
        <f t="shared" si="2"/>
        <v>0.99912397907241213</v>
      </c>
      <c r="AB25" s="4">
        <f t="shared" si="2"/>
        <v>0.99833888850453545</v>
      </c>
      <c r="AC25" s="4">
        <f t="shared" si="2"/>
        <v>0.99685076919798865</v>
      </c>
      <c r="AD25" s="4">
        <f t="shared" si="2"/>
        <v>0.99403190884795445</v>
      </c>
      <c r="AE25" s="4">
        <f t="shared" si="2"/>
        <v>0.98870000318069773</v>
      </c>
      <c r="AF25" s="4">
        <f t="shared" si="2"/>
        <v>0.97864686803622136</v>
      </c>
      <c r="AG25" s="4">
        <f t="shared" si="3"/>
        <v>0.95982538467280665</v>
      </c>
      <c r="AH25" s="4">
        <f t="shared" si="3"/>
        <v>0.92512705484006208</v>
      </c>
      <c r="AI25" s="4">
        <f t="shared" si="3"/>
        <v>0.86323195930299401</v>
      </c>
      <c r="AJ25" s="4">
        <f t="shared" si="3"/>
        <v>0.76000101689477173</v>
      </c>
      <c r="AK25" s="4">
        <f t="shared" si="3"/>
        <v>0.60815171131295576</v>
      </c>
      <c r="AL25" s="4">
        <f t="shared" si="3"/>
        <v>0.42565082250148245</v>
      </c>
      <c r="AM25" s="4">
        <f t="shared" si="3"/>
        <v>0.25686721291665371</v>
      </c>
      <c r="AN25" s="4">
        <f t="shared" si="3"/>
        <v>0.13681012326750519</v>
      </c>
      <c r="AO25" s="4">
        <f t="shared" si="3"/>
        <v>6.7110874479454963E-2</v>
      </c>
      <c r="AP25" s="4">
        <f t="shared" si="3"/>
        <v>3.1457259534366733E-2</v>
      </c>
      <c r="AQ25" s="4">
        <f t="shared" si="3"/>
        <v>1.4415036328376152E-2</v>
      </c>
      <c r="AR25" s="4">
        <f t="shared" si="3"/>
        <v>6.5354046097677587E-3</v>
      </c>
    </row>
    <row r="26" spans="1:44" ht="15" thickBot="1" x14ac:dyDescent="0.4">
      <c r="A26" s="24" t="s">
        <v>64</v>
      </c>
      <c r="B26" s="49">
        <v>105000</v>
      </c>
      <c r="C26" s="50">
        <v>105000</v>
      </c>
      <c r="D26" s="1" t="s">
        <v>65</v>
      </c>
      <c r="L26" s="56">
        <v>22</v>
      </c>
      <c r="M26" s="57">
        <v>0</v>
      </c>
      <c r="N26" s="57">
        <v>1</v>
      </c>
      <c r="O26" s="57">
        <v>0.8</v>
      </c>
      <c r="P26" s="58">
        <v>0.8</v>
      </c>
      <c r="Q26" s="4">
        <f t="shared" si="2"/>
        <v>0.99999923240226085</v>
      </c>
      <c r="R26" s="4">
        <f t="shared" si="2"/>
        <v>0.9999985442655972</v>
      </c>
      <c r="S26" s="4">
        <f t="shared" si="2"/>
        <v>0.99999723922767647</v>
      </c>
      <c r="T26" s="4">
        <f t="shared" si="2"/>
        <v>0.99999476424865408</v>
      </c>
      <c r="U26" s="4">
        <f t="shared" si="2"/>
        <v>0.99999007050012179</v>
      </c>
      <c r="V26" s="4">
        <f t="shared" si="2"/>
        <v>0.99998116890363087</v>
      </c>
      <c r="W26" s="4">
        <f t="shared" si="2"/>
        <v>0.99996428722923425</v>
      </c>
      <c r="X26" s="4">
        <f t="shared" si="2"/>
        <v>0.99993227159641906</v>
      </c>
      <c r="Y26" s="4">
        <f t="shared" si="2"/>
        <v>0.99987155515136772</v>
      </c>
      <c r="Z26" s="4">
        <f t="shared" si="2"/>
        <v>0.99975641006619353</v>
      </c>
      <c r="AA26" s="4">
        <f t="shared" si="2"/>
        <v>0.9995380501308736</v>
      </c>
      <c r="AB26" s="4">
        <f t="shared" si="2"/>
        <v>0.99912397907241213</v>
      </c>
      <c r="AC26" s="4">
        <f t="shared" si="2"/>
        <v>0.99833888850453545</v>
      </c>
      <c r="AD26" s="4">
        <f t="shared" si="2"/>
        <v>0.99685076919798865</v>
      </c>
      <c r="AE26" s="4">
        <f t="shared" si="2"/>
        <v>0.99403190884795445</v>
      </c>
      <c r="AF26" s="4">
        <f t="shared" si="2"/>
        <v>0.98870000318069773</v>
      </c>
      <c r="AG26" s="4">
        <f t="shared" si="3"/>
        <v>0.97864686803622136</v>
      </c>
      <c r="AH26" s="4">
        <f t="shared" si="3"/>
        <v>0.95982538467280665</v>
      </c>
      <c r="AI26" s="4">
        <f t="shared" si="3"/>
        <v>0.92512705484006208</v>
      </c>
      <c r="AJ26" s="4">
        <f t="shared" si="3"/>
        <v>0.86323195930299401</v>
      </c>
      <c r="AK26" s="4">
        <f t="shared" si="3"/>
        <v>0.76000101689477173</v>
      </c>
      <c r="AL26" s="4">
        <f t="shared" si="3"/>
        <v>0.60815171131295576</v>
      </c>
      <c r="AM26" s="4">
        <f t="shared" si="3"/>
        <v>0.42565082250148245</v>
      </c>
      <c r="AN26" s="4">
        <f t="shared" si="3"/>
        <v>0.25686721291665371</v>
      </c>
      <c r="AO26" s="4">
        <f t="shared" si="3"/>
        <v>0.13681012326750519</v>
      </c>
      <c r="AP26" s="4">
        <f t="shared" si="3"/>
        <v>6.7110874479454963E-2</v>
      </c>
      <c r="AQ26" s="4">
        <f t="shared" si="3"/>
        <v>3.1457259534366733E-2</v>
      </c>
      <c r="AR26" s="4">
        <f t="shared" si="3"/>
        <v>1.4415036328376152E-2</v>
      </c>
    </row>
    <row r="27" spans="1:44" x14ac:dyDescent="0.35">
      <c r="A27" s="25"/>
      <c r="B27" s="40"/>
    </row>
    <row r="28" spans="1:44" ht="15" thickBot="1" x14ac:dyDescent="0.4"/>
    <row r="29" spans="1:44" ht="15" thickBot="1" x14ac:dyDescent="0.4">
      <c r="A29" s="26" t="s">
        <v>206</v>
      </c>
      <c r="B29" s="27">
        <v>2023</v>
      </c>
      <c r="C29" s="27">
        <v>2024</v>
      </c>
      <c r="D29" s="27">
        <v>2025</v>
      </c>
      <c r="E29" s="27">
        <v>2026</v>
      </c>
      <c r="F29" s="27">
        <v>2027</v>
      </c>
      <c r="G29" s="27">
        <v>2028</v>
      </c>
      <c r="H29" s="27">
        <v>2029</v>
      </c>
      <c r="I29" s="27">
        <v>2030</v>
      </c>
      <c r="J29" s="27">
        <v>2031</v>
      </c>
      <c r="K29" s="27">
        <v>2032</v>
      </c>
      <c r="L29" s="27">
        <v>2033</v>
      </c>
      <c r="M29" s="27">
        <v>2034</v>
      </c>
      <c r="N29" s="27">
        <v>2035</v>
      </c>
      <c r="O29" s="27">
        <v>2036</v>
      </c>
      <c r="P29" s="27">
        <v>2037</v>
      </c>
      <c r="Q29" s="27">
        <v>2038</v>
      </c>
      <c r="R29" s="27">
        <v>2039</v>
      </c>
      <c r="S29" s="27">
        <v>2040</v>
      </c>
      <c r="T29" s="27">
        <v>2041</v>
      </c>
      <c r="U29" s="27">
        <v>2042</v>
      </c>
      <c r="V29" s="27">
        <v>2043</v>
      </c>
      <c r="W29" s="27">
        <v>2044</v>
      </c>
      <c r="X29" s="27">
        <v>2045</v>
      </c>
      <c r="Y29" s="27">
        <v>2046</v>
      </c>
      <c r="Z29" s="27">
        <v>2047</v>
      </c>
      <c r="AA29" s="27">
        <v>2048</v>
      </c>
      <c r="AB29" s="27">
        <v>2049</v>
      </c>
      <c r="AC29" s="28">
        <v>2050</v>
      </c>
    </row>
    <row r="30" spans="1:44" x14ac:dyDescent="0.35">
      <c r="A30" s="29" t="str">
        <f t="shared" ref="A30:A43" si="4">A11</f>
        <v>Capex vehicle</v>
      </c>
      <c r="B30" s="62">
        <f t="shared" ref="B30:B42" si="5">$B11+($C11-$B11)*(1-Q11)</f>
        <v>100000</v>
      </c>
      <c r="C30" s="62">
        <f t="shared" ref="C30:AC30" si="6">$B11+($C11-$B11)*(1-R11)</f>
        <v>100000</v>
      </c>
      <c r="D30" s="62">
        <f t="shared" si="6"/>
        <v>100000</v>
      </c>
      <c r="E30" s="62">
        <f t="shared" si="6"/>
        <v>100000</v>
      </c>
      <c r="F30" s="62">
        <f t="shared" si="6"/>
        <v>100000</v>
      </c>
      <c r="G30" s="62">
        <f t="shared" si="6"/>
        <v>100000</v>
      </c>
      <c r="H30" s="62">
        <f t="shared" si="6"/>
        <v>100000</v>
      </c>
      <c r="I30" s="62">
        <f t="shared" si="6"/>
        <v>100000</v>
      </c>
      <c r="J30" s="62">
        <f t="shared" si="6"/>
        <v>100000</v>
      </c>
      <c r="K30" s="62">
        <f t="shared" si="6"/>
        <v>100000</v>
      </c>
      <c r="L30" s="62">
        <f t="shared" si="6"/>
        <v>100000</v>
      </c>
      <c r="M30" s="62">
        <f t="shared" si="6"/>
        <v>100000</v>
      </c>
      <c r="N30" s="62">
        <f t="shared" si="6"/>
        <v>100000</v>
      </c>
      <c r="O30" s="62">
        <f t="shared" si="6"/>
        <v>100000</v>
      </c>
      <c r="P30" s="62">
        <f t="shared" si="6"/>
        <v>100000</v>
      </c>
      <c r="Q30" s="62">
        <f t="shared" si="6"/>
        <v>100000</v>
      </c>
      <c r="R30" s="62">
        <f t="shared" si="6"/>
        <v>100000</v>
      </c>
      <c r="S30" s="62">
        <f t="shared" si="6"/>
        <v>100000</v>
      </c>
      <c r="T30" s="62">
        <f t="shared" si="6"/>
        <v>100000</v>
      </c>
      <c r="U30" s="62">
        <f t="shared" si="6"/>
        <v>100000</v>
      </c>
      <c r="V30" s="62">
        <f t="shared" si="6"/>
        <v>100000</v>
      </c>
      <c r="W30" s="62">
        <f t="shared" si="6"/>
        <v>100000</v>
      </c>
      <c r="X30" s="62">
        <f t="shared" si="6"/>
        <v>100000</v>
      </c>
      <c r="Y30" s="62">
        <f t="shared" si="6"/>
        <v>100000</v>
      </c>
      <c r="Z30" s="62">
        <f t="shared" si="6"/>
        <v>100000</v>
      </c>
      <c r="AA30" s="62">
        <f t="shared" si="6"/>
        <v>100000</v>
      </c>
      <c r="AB30" s="62">
        <f t="shared" si="6"/>
        <v>100000</v>
      </c>
      <c r="AC30" s="62">
        <f t="shared" si="6"/>
        <v>100000</v>
      </c>
    </row>
    <row r="31" spans="1:44" x14ac:dyDescent="0.35">
      <c r="A31" s="30" t="str">
        <f t="shared" si="4"/>
        <v>Residual value (vehicle)</v>
      </c>
      <c r="B31" s="62">
        <f t="shared" si="5"/>
        <v>-30000</v>
      </c>
      <c r="C31" s="62">
        <f t="shared" ref="C31:AC31" si="7">$B12+($C12-$B12)*(1-R12)</f>
        <v>-30000</v>
      </c>
      <c r="D31" s="62">
        <f t="shared" si="7"/>
        <v>-30000</v>
      </c>
      <c r="E31" s="62">
        <f t="shared" si="7"/>
        <v>-30000</v>
      </c>
      <c r="F31" s="62">
        <f t="shared" si="7"/>
        <v>-30000</v>
      </c>
      <c r="G31" s="62">
        <f t="shared" si="7"/>
        <v>-30000</v>
      </c>
      <c r="H31" s="62">
        <f t="shared" si="7"/>
        <v>-30000</v>
      </c>
      <c r="I31" s="62">
        <f t="shared" si="7"/>
        <v>-30000</v>
      </c>
      <c r="J31" s="62">
        <f t="shared" si="7"/>
        <v>-30000</v>
      </c>
      <c r="K31" s="62">
        <f t="shared" si="7"/>
        <v>-30000</v>
      </c>
      <c r="L31" s="62">
        <f t="shared" si="7"/>
        <v>-30000</v>
      </c>
      <c r="M31" s="62">
        <f t="shared" si="7"/>
        <v>-30000</v>
      </c>
      <c r="N31" s="62">
        <f t="shared" si="7"/>
        <v>-30000</v>
      </c>
      <c r="O31" s="62">
        <f t="shared" si="7"/>
        <v>-30000</v>
      </c>
      <c r="P31" s="62">
        <f t="shared" si="7"/>
        <v>-30000</v>
      </c>
      <c r="Q31" s="62">
        <f t="shared" si="7"/>
        <v>-30000</v>
      </c>
      <c r="R31" s="62">
        <f t="shared" si="7"/>
        <v>-30000</v>
      </c>
      <c r="S31" s="62">
        <f t="shared" si="7"/>
        <v>-30000</v>
      </c>
      <c r="T31" s="62">
        <f t="shared" si="7"/>
        <v>-30000</v>
      </c>
      <c r="U31" s="62">
        <f t="shared" si="7"/>
        <v>-30000</v>
      </c>
      <c r="V31" s="62">
        <f t="shared" si="7"/>
        <v>-30000</v>
      </c>
      <c r="W31" s="62">
        <f t="shared" si="7"/>
        <v>-30000</v>
      </c>
      <c r="X31" s="62">
        <f t="shared" si="7"/>
        <v>-30000</v>
      </c>
      <c r="Y31" s="62">
        <f t="shared" si="7"/>
        <v>-30000</v>
      </c>
      <c r="Z31" s="62">
        <f t="shared" si="7"/>
        <v>-30000</v>
      </c>
      <c r="AA31" s="62">
        <f t="shared" si="7"/>
        <v>-30000</v>
      </c>
      <c r="AB31" s="62">
        <f t="shared" si="7"/>
        <v>-30000</v>
      </c>
      <c r="AC31" s="62">
        <f t="shared" si="7"/>
        <v>-30000</v>
      </c>
    </row>
    <row r="32" spans="1:44" x14ac:dyDescent="0.35">
      <c r="A32" s="30" t="str">
        <f t="shared" si="4"/>
        <v>Capex costumization</v>
      </c>
      <c r="B32" s="62">
        <f t="shared" si="5"/>
        <v>50000</v>
      </c>
      <c r="C32" s="62">
        <f t="shared" ref="C32:AC32" si="8">$B13+($C13-$B13)*(1-R13)</f>
        <v>50000</v>
      </c>
      <c r="D32" s="62">
        <f t="shared" si="8"/>
        <v>50000</v>
      </c>
      <c r="E32" s="62">
        <f t="shared" si="8"/>
        <v>50000</v>
      </c>
      <c r="F32" s="62">
        <f t="shared" si="8"/>
        <v>50000</v>
      </c>
      <c r="G32" s="62">
        <f t="shared" si="8"/>
        <v>50000</v>
      </c>
      <c r="H32" s="62">
        <f t="shared" si="8"/>
        <v>50000</v>
      </c>
      <c r="I32" s="62">
        <f t="shared" si="8"/>
        <v>50000</v>
      </c>
      <c r="J32" s="62">
        <f t="shared" si="8"/>
        <v>50000</v>
      </c>
      <c r="K32" s="62">
        <f t="shared" si="8"/>
        <v>50000</v>
      </c>
      <c r="L32" s="62">
        <f t="shared" si="8"/>
        <v>50000</v>
      </c>
      <c r="M32" s="62">
        <f t="shared" si="8"/>
        <v>50000</v>
      </c>
      <c r="N32" s="62">
        <f t="shared" si="8"/>
        <v>50000</v>
      </c>
      <c r="O32" s="62">
        <f t="shared" si="8"/>
        <v>50000</v>
      </c>
      <c r="P32" s="62">
        <f t="shared" si="8"/>
        <v>50000</v>
      </c>
      <c r="Q32" s="62">
        <f t="shared" si="8"/>
        <v>50000</v>
      </c>
      <c r="R32" s="62">
        <f t="shared" si="8"/>
        <v>50000</v>
      </c>
      <c r="S32" s="62">
        <f t="shared" si="8"/>
        <v>50000</v>
      </c>
      <c r="T32" s="62">
        <f t="shared" si="8"/>
        <v>50000</v>
      </c>
      <c r="U32" s="62">
        <f t="shared" si="8"/>
        <v>50000</v>
      </c>
      <c r="V32" s="62">
        <f t="shared" si="8"/>
        <v>50000</v>
      </c>
      <c r="W32" s="62">
        <f t="shared" si="8"/>
        <v>50000</v>
      </c>
      <c r="X32" s="62">
        <f t="shared" si="8"/>
        <v>50000</v>
      </c>
      <c r="Y32" s="62">
        <f t="shared" si="8"/>
        <v>50000</v>
      </c>
      <c r="Z32" s="62">
        <f t="shared" si="8"/>
        <v>50000</v>
      </c>
      <c r="AA32" s="62">
        <f t="shared" si="8"/>
        <v>50000</v>
      </c>
      <c r="AB32" s="62">
        <f t="shared" si="8"/>
        <v>50000</v>
      </c>
      <c r="AC32" s="62">
        <f t="shared" si="8"/>
        <v>50000</v>
      </c>
    </row>
    <row r="33" spans="1:29" x14ac:dyDescent="0.35">
      <c r="A33" s="30" t="str">
        <f t="shared" si="4"/>
        <v>Residual value (costumization)</v>
      </c>
      <c r="B33" s="62">
        <f t="shared" si="5"/>
        <v>-5000</v>
      </c>
      <c r="C33" s="62">
        <f t="shared" ref="C33:AC33" si="9">$B14+($C14-$B14)*(1-R14)</f>
        <v>-5000</v>
      </c>
      <c r="D33" s="62">
        <f t="shared" si="9"/>
        <v>-5000</v>
      </c>
      <c r="E33" s="62">
        <f t="shared" si="9"/>
        <v>-5000</v>
      </c>
      <c r="F33" s="62">
        <f t="shared" si="9"/>
        <v>-5000</v>
      </c>
      <c r="G33" s="62">
        <f t="shared" si="9"/>
        <v>-5000</v>
      </c>
      <c r="H33" s="62">
        <f t="shared" si="9"/>
        <v>-5000</v>
      </c>
      <c r="I33" s="62">
        <f t="shared" si="9"/>
        <v>-5000</v>
      </c>
      <c r="J33" s="62">
        <f t="shared" si="9"/>
        <v>-5000</v>
      </c>
      <c r="K33" s="62">
        <f t="shared" si="9"/>
        <v>-5000</v>
      </c>
      <c r="L33" s="62">
        <f t="shared" si="9"/>
        <v>-5000</v>
      </c>
      <c r="M33" s="62">
        <f t="shared" si="9"/>
        <v>-5000</v>
      </c>
      <c r="N33" s="62">
        <f t="shared" si="9"/>
        <v>-5000</v>
      </c>
      <c r="O33" s="62">
        <f t="shared" si="9"/>
        <v>-5000</v>
      </c>
      <c r="P33" s="62">
        <f t="shared" si="9"/>
        <v>-5000</v>
      </c>
      <c r="Q33" s="62">
        <f t="shared" si="9"/>
        <v>-5000</v>
      </c>
      <c r="R33" s="62">
        <f t="shared" si="9"/>
        <v>-5000</v>
      </c>
      <c r="S33" s="62">
        <f t="shared" si="9"/>
        <v>-5000</v>
      </c>
      <c r="T33" s="62">
        <f t="shared" si="9"/>
        <v>-5000</v>
      </c>
      <c r="U33" s="62">
        <f t="shared" si="9"/>
        <v>-5000</v>
      </c>
      <c r="V33" s="62">
        <f t="shared" si="9"/>
        <v>-5000</v>
      </c>
      <c r="W33" s="62">
        <f t="shared" si="9"/>
        <v>-5000</v>
      </c>
      <c r="X33" s="62">
        <f t="shared" si="9"/>
        <v>-5000</v>
      </c>
      <c r="Y33" s="62">
        <f t="shared" si="9"/>
        <v>-5000</v>
      </c>
      <c r="Z33" s="62">
        <f t="shared" si="9"/>
        <v>-5000</v>
      </c>
      <c r="AA33" s="62">
        <f t="shared" si="9"/>
        <v>-5000</v>
      </c>
      <c r="AB33" s="62">
        <f t="shared" si="9"/>
        <v>-5000</v>
      </c>
      <c r="AC33" s="62">
        <f t="shared" si="9"/>
        <v>-5000</v>
      </c>
    </row>
    <row r="34" spans="1:29" x14ac:dyDescent="0.35">
      <c r="A34" s="30" t="str">
        <f t="shared" si="4"/>
        <v>WACC</v>
      </c>
      <c r="B34" s="62">
        <f t="shared" si="5"/>
        <v>0.06</v>
      </c>
      <c r="C34" s="62">
        <f t="shared" ref="C34:AC34" si="10">$B15+($C15-$B15)*(1-R15)</f>
        <v>0.06</v>
      </c>
      <c r="D34" s="62">
        <f t="shared" si="10"/>
        <v>0.06</v>
      </c>
      <c r="E34" s="62">
        <f t="shared" si="10"/>
        <v>0.06</v>
      </c>
      <c r="F34" s="62">
        <f t="shared" si="10"/>
        <v>0.06</v>
      </c>
      <c r="G34" s="62">
        <f t="shared" si="10"/>
        <v>0.06</v>
      </c>
      <c r="H34" s="62">
        <f t="shared" si="10"/>
        <v>0.06</v>
      </c>
      <c r="I34" s="62">
        <f t="shared" si="10"/>
        <v>0.06</v>
      </c>
      <c r="J34" s="62">
        <f t="shared" si="10"/>
        <v>0.06</v>
      </c>
      <c r="K34" s="62">
        <f t="shared" si="10"/>
        <v>0.06</v>
      </c>
      <c r="L34" s="62">
        <f t="shared" si="10"/>
        <v>0.06</v>
      </c>
      <c r="M34" s="62">
        <f t="shared" si="10"/>
        <v>0.06</v>
      </c>
      <c r="N34" s="62">
        <f t="shared" si="10"/>
        <v>0.06</v>
      </c>
      <c r="O34" s="62">
        <f t="shared" si="10"/>
        <v>0.06</v>
      </c>
      <c r="P34" s="62">
        <f t="shared" si="10"/>
        <v>0.06</v>
      </c>
      <c r="Q34" s="62">
        <f t="shared" si="10"/>
        <v>0.06</v>
      </c>
      <c r="R34" s="62">
        <f t="shared" si="10"/>
        <v>0.06</v>
      </c>
      <c r="S34" s="62">
        <f t="shared" si="10"/>
        <v>0.06</v>
      </c>
      <c r="T34" s="62">
        <f t="shared" si="10"/>
        <v>0.06</v>
      </c>
      <c r="U34" s="62">
        <f t="shared" si="10"/>
        <v>0.06</v>
      </c>
      <c r="V34" s="62">
        <f t="shared" si="10"/>
        <v>0.06</v>
      </c>
      <c r="W34" s="62">
        <f t="shared" si="10"/>
        <v>0.06</v>
      </c>
      <c r="X34" s="62">
        <f t="shared" si="10"/>
        <v>0.06</v>
      </c>
      <c r="Y34" s="62">
        <f t="shared" si="10"/>
        <v>0.06</v>
      </c>
      <c r="Z34" s="62">
        <f t="shared" si="10"/>
        <v>0.06</v>
      </c>
      <c r="AA34" s="62">
        <f t="shared" si="10"/>
        <v>0.06</v>
      </c>
      <c r="AB34" s="62">
        <f t="shared" si="10"/>
        <v>0.06</v>
      </c>
      <c r="AC34" s="62">
        <f t="shared" si="10"/>
        <v>0.06</v>
      </c>
    </row>
    <row r="35" spans="1:29" x14ac:dyDescent="0.35">
      <c r="A35" s="30" t="str">
        <f t="shared" si="4"/>
        <v>Opex fix (admin, crew, insurance)</v>
      </c>
      <c r="B35" s="62">
        <f t="shared" si="5"/>
        <v>85000</v>
      </c>
      <c r="C35" s="62">
        <f t="shared" ref="C35:AC35" si="11">$B16+($C16-$B16)*(1-R16)</f>
        <v>85000</v>
      </c>
      <c r="D35" s="62">
        <f t="shared" si="11"/>
        <v>85000</v>
      </c>
      <c r="E35" s="62">
        <f t="shared" si="11"/>
        <v>85000</v>
      </c>
      <c r="F35" s="62">
        <f t="shared" si="11"/>
        <v>85000</v>
      </c>
      <c r="G35" s="62">
        <f t="shared" si="11"/>
        <v>85000</v>
      </c>
      <c r="H35" s="62">
        <f t="shared" si="11"/>
        <v>85000</v>
      </c>
      <c r="I35" s="62">
        <f t="shared" si="11"/>
        <v>85000</v>
      </c>
      <c r="J35" s="62">
        <f t="shared" si="11"/>
        <v>85000</v>
      </c>
      <c r="K35" s="62">
        <f t="shared" si="11"/>
        <v>85000</v>
      </c>
      <c r="L35" s="62">
        <f t="shared" si="11"/>
        <v>85000</v>
      </c>
      <c r="M35" s="62">
        <f t="shared" si="11"/>
        <v>85000</v>
      </c>
      <c r="N35" s="62">
        <f t="shared" si="11"/>
        <v>85000</v>
      </c>
      <c r="O35" s="62">
        <f t="shared" si="11"/>
        <v>85000</v>
      </c>
      <c r="P35" s="62">
        <f t="shared" si="11"/>
        <v>85000</v>
      </c>
      <c r="Q35" s="62">
        <f t="shared" si="11"/>
        <v>85000</v>
      </c>
      <c r="R35" s="62">
        <f t="shared" si="11"/>
        <v>85000</v>
      </c>
      <c r="S35" s="62">
        <f t="shared" si="11"/>
        <v>85000</v>
      </c>
      <c r="T35" s="62">
        <f t="shared" si="11"/>
        <v>85000</v>
      </c>
      <c r="U35" s="62">
        <f t="shared" si="11"/>
        <v>85000</v>
      </c>
      <c r="V35" s="62">
        <f t="shared" si="11"/>
        <v>85000</v>
      </c>
      <c r="W35" s="62">
        <f t="shared" si="11"/>
        <v>85000</v>
      </c>
      <c r="X35" s="62">
        <f t="shared" si="11"/>
        <v>85000</v>
      </c>
      <c r="Y35" s="62">
        <f t="shared" si="11"/>
        <v>85000</v>
      </c>
      <c r="Z35" s="62">
        <f t="shared" si="11"/>
        <v>85000</v>
      </c>
      <c r="AA35" s="62">
        <f t="shared" si="11"/>
        <v>85000</v>
      </c>
      <c r="AB35" s="62">
        <f t="shared" si="11"/>
        <v>85000</v>
      </c>
      <c r="AC35" s="62">
        <f t="shared" si="11"/>
        <v>85000</v>
      </c>
    </row>
    <row r="36" spans="1:29" x14ac:dyDescent="0.35">
      <c r="A36" s="30" t="str">
        <f t="shared" si="4"/>
        <v>Opex maintenance &amp; repair</v>
      </c>
      <c r="B36" s="62">
        <f t="shared" si="5"/>
        <v>20000</v>
      </c>
      <c r="C36" s="62">
        <f t="shared" ref="C36:AC36" si="12">$B17+($C17-$B17)*(1-R17)</f>
        <v>20000</v>
      </c>
      <c r="D36" s="62">
        <f t="shared" si="12"/>
        <v>20000</v>
      </c>
      <c r="E36" s="62">
        <f t="shared" si="12"/>
        <v>20000</v>
      </c>
      <c r="F36" s="62">
        <f t="shared" si="12"/>
        <v>20000</v>
      </c>
      <c r="G36" s="62">
        <f t="shared" si="12"/>
        <v>20000</v>
      </c>
      <c r="H36" s="62">
        <f t="shared" si="12"/>
        <v>20000</v>
      </c>
      <c r="I36" s="62">
        <f t="shared" si="12"/>
        <v>20000</v>
      </c>
      <c r="J36" s="62">
        <f t="shared" si="12"/>
        <v>20000</v>
      </c>
      <c r="K36" s="62">
        <f t="shared" si="12"/>
        <v>20000</v>
      </c>
      <c r="L36" s="62">
        <f t="shared" si="12"/>
        <v>20000</v>
      </c>
      <c r="M36" s="62">
        <f t="shared" si="12"/>
        <v>20000</v>
      </c>
      <c r="N36" s="62">
        <f t="shared" si="12"/>
        <v>20000</v>
      </c>
      <c r="O36" s="62">
        <f t="shared" si="12"/>
        <v>20000</v>
      </c>
      <c r="P36" s="62">
        <f t="shared" si="12"/>
        <v>20000</v>
      </c>
      <c r="Q36" s="62">
        <f t="shared" si="12"/>
        <v>20000</v>
      </c>
      <c r="R36" s="62">
        <f t="shared" si="12"/>
        <v>20000</v>
      </c>
      <c r="S36" s="62">
        <f t="shared" si="12"/>
        <v>20000</v>
      </c>
      <c r="T36" s="62">
        <f t="shared" si="12"/>
        <v>20000</v>
      </c>
      <c r="U36" s="62">
        <f t="shared" si="12"/>
        <v>20000</v>
      </c>
      <c r="V36" s="62">
        <f t="shared" si="12"/>
        <v>20000</v>
      </c>
      <c r="W36" s="62">
        <f t="shared" si="12"/>
        <v>20000</v>
      </c>
      <c r="X36" s="62">
        <f t="shared" si="12"/>
        <v>20000</v>
      </c>
      <c r="Y36" s="62">
        <f t="shared" si="12"/>
        <v>20000</v>
      </c>
      <c r="Z36" s="62">
        <f t="shared" si="12"/>
        <v>20000</v>
      </c>
      <c r="AA36" s="62">
        <f t="shared" si="12"/>
        <v>20000</v>
      </c>
      <c r="AB36" s="62">
        <f t="shared" si="12"/>
        <v>20000</v>
      </c>
      <c r="AC36" s="62">
        <f t="shared" si="12"/>
        <v>20000</v>
      </c>
    </row>
    <row r="37" spans="1:29" x14ac:dyDescent="0.35">
      <c r="A37" s="30" t="str">
        <f t="shared" si="4"/>
        <v>Opex var (mode-fees, cargo handling)</v>
      </c>
      <c r="B37" s="62">
        <f t="shared" si="5"/>
        <v>9.5238095238095247E-3</v>
      </c>
      <c r="C37" s="62">
        <f t="shared" ref="C37:AC37" si="13">$B18+($C18-$B18)*(1-R18)</f>
        <v>9.5238095238095247E-3</v>
      </c>
      <c r="D37" s="62">
        <f t="shared" si="13"/>
        <v>9.5238095238095247E-3</v>
      </c>
      <c r="E37" s="62">
        <f t="shared" si="13"/>
        <v>9.5238095238095247E-3</v>
      </c>
      <c r="F37" s="62">
        <f t="shared" si="13"/>
        <v>9.5238095238095247E-3</v>
      </c>
      <c r="G37" s="62">
        <f t="shared" si="13"/>
        <v>9.5238095238095247E-3</v>
      </c>
      <c r="H37" s="62">
        <f t="shared" si="13"/>
        <v>9.5238095238095247E-3</v>
      </c>
      <c r="I37" s="62">
        <f t="shared" si="13"/>
        <v>9.5238095238095247E-3</v>
      </c>
      <c r="J37" s="62">
        <f t="shared" si="13"/>
        <v>9.5238095238095247E-3</v>
      </c>
      <c r="K37" s="62">
        <f t="shared" si="13"/>
        <v>9.5238095238095247E-3</v>
      </c>
      <c r="L37" s="62">
        <f t="shared" si="13"/>
        <v>9.5238095238095247E-3</v>
      </c>
      <c r="M37" s="62">
        <f t="shared" si="13"/>
        <v>9.5238095238095247E-3</v>
      </c>
      <c r="N37" s="62">
        <f t="shared" si="13"/>
        <v>9.5238095238095247E-3</v>
      </c>
      <c r="O37" s="62">
        <f t="shared" si="13"/>
        <v>9.5238095238095247E-3</v>
      </c>
      <c r="P37" s="62">
        <f t="shared" si="13"/>
        <v>9.5238095238095247E-3</v>
      </c>
      <c r="Q37" s="62">
        <f t="shared" si="13"/>
        <v>9.5238095238095247E-3</v>
      </c>
      <c r="R37" s="62">
        <f t="shared" si="13"/>
        <v>9.5238095238095247E-3</v>
      </c>
      <c r="S37" s="62">
        <f t="shared" si="13"/>
        <v>9.5238095238095247E-3</v>
      </c>
      <c r="T37" s="62">
        <f t="shared" si="13"/>
        <v>9.5238095238095247E-3</v>
      </c>
      <c r="U37" s="62">
        <f t="shared" si="13"/>
        <v>9.5238095238095247E-3</v>
      </c>
      <c r="V37" s="62">
        <f t="shared" si="13"/>
        <v>9.5238095238095247E-3</v>
      </c>
      <c r="W37" s="62">
        <f t="shared" si="13"/>
        <v>9.5238095238095247E-3</v>
      </c>
      <c r="X37" s="62">
        <f t="shared" si="13"/>
        <v>9.5238095238095247E-3</v>
      </c>
      <c r="Y37" s="62">
        <f t="shared" si="13"/>
        <v>9.5238095238095247E-3</v>
      </c>
      <c r="Z37" s="62">
        <f t="shared" si="13"/>
        <v>9.5238095238095247E-3</v>
      </c>
      <c r="AA37" s="62">
        <f t="shared" si="13"/>
        <v>9.5238095238095247E-3</v>
      </c>
      <c r="AB37" s="62">
        <f t="shared" si="13"/>
        <v>9.5238095238095247E-3</v>
      </c>
      <c r="AC37" s="62">
        <f t="shared" si="13"/>
        <v>9.5238095238095247E-3</v>
      </c>
    </row>
    <row r="38" spans="1:29" x14ac:dyDescent="0.35">
      <c r="A38" s="30" t="str">
        <f t="shared" si="4"/>
        <v>Fuel Economy</v>
      </c>
      <c r="B38" s="62">
        <f t="shared" si="5"/>
        <v>2.8</v>
      </c>
      <c r="C38" s="62">
        <f t="shared" ref="C38:AC38" si="14">$B19+($C19-$B19)*(1-R19)</f>
        <v>2.8</v>
      </c>
      <c r="D38" s="62">
        <f t="shared" si="14"/>
        <v>2.8</v>
      </c>
      <c r="E38" s="62">
        <f t="shared" si="14"/>
        <v>2.8</v>
      </c>
      <c r="F38" s="62">
        <f t="shared" si="14"/>
        <v>2.8</v>
      </c>
      <c r="G38" s="62">
        <f t="shared" si="14"/>
        <v>2.8</v>
      </c>
      <c r="H38" s="62">
        <f t="shared" si="14"/>
        <v>2.8</v>
      </c>
      <c r="I38" s="62">
        <f t="shared" si="14"/>
        <v>2.8</v>
      </c>
      <c r="J38" s="62">
        <f t="shared" si="14"/>
        <v>2.8</v>
      </c>
      <c r="K38" s="62">
        <f t="shared" si="14"/>
        <v>2.8</v>
      </c>
      <c r="L38" s="62">
        <f t="shared" si="14"/>
        <v>2.8</v>
      </c>
      <c r="M38" s="62">
        <f t="shared" si="14"/>
        <v>2.8</v>
      </c>
      <c r="N38" s="62">
        <f t="shared" si="14"/>
        <v>2.8</v>
      </c>
      <c r="O38" s="62">
        <f t="shared" si="14"/>
        <v>2.8</v>
      </c>
      <c r="P38" s="62">
        <f t="shared" si="14"/>
        <v>2.8</v>
      </c>
      <c r="Q38" s="62">
        <f t="shared" si="14"/>
        <v>2.8</v>
      </c>
      <c r="R38" s="62">
        <f t="shared" si="14"/>
        <v>2.8</v>
      </c>
      <c r="S38" s="62">
        <f t="shared" si="14"/>
        <v>2.8</v>
      </c>
      <c r="T38" s="62">
        <f t="shared" si="14"/>
        <v>2.8</v>
      </c>
      <c r="U38" s="62">
        <f t="shared" si="14"/>
        <v>2.8</v>
      </c>
      <c r="V38" s="62">
        <f t="shared" si="14"/>
        <v>2.8</v>
      </c>
      <c r="W38" s="62">
        <f t="shared" si="14"/>
        <v>2.8</v>
      </c>
      <c r="X38" s="62">
        <f t="shared" si="14"/>
        <v>2.8</v>
      </c>
      <c r="Y38" s="62">
        <f t="shared" si="14"/>
        <v>2.8</v>
      </c>
      <c r="Z38" s="62">
        <f t="shared" si="14"/>
        <v>2.8</v>
      </c>
      <c r="AA38" s="62">
        <f t="shared" si="14"/>
        <v>2.8</v>
      </c>
      <c r="AB38" s="62">
        <f t="shared" si="14"/>
        <v>2.8</v>
      </c>
      <c r="AC38" s="62">
        <f t="shared" si="14"/>
        <v>2.8</v>
      </c>
    </row>
    <row r="39" spans="1:29" x14ac:dyDescent="0.35">
      <c r="A39" s="30" t="str">
        <f t="shared" si="4"/>
        <v>Fuel Cost</v>
      </c>
      <c r="B39" s="62">
        <f t="shared" si="5"/>
        <v>0.15</v>
      </c>
      <c r="C39" s="62">
        <f t="shared" ref="C39:AC39" si="15">$B20+($C20-$B20)*(1-R20)</f>
        <v>0.15</v>
      </c>
      <c r="D39" s="62">
        <f t="shared" si="15"/>
        <v>0.15</v>
      </c>
      <c r="E39" s="62">
        <f t="shared" si="15"/>
        <v>0.15</v>
      </c>
      <c r="F39" s="62">
        <f t="shared" si="15"/>
        <v>0.15</v>
      </c>
      <c r="G39" s="62">
        <f t="shared" si="15"/>
        <v>0.15</v>
      </c>
      <c r="H39" s="62">
        <f t="shared" si="15"/>
        <v>0.15</v>
      </c>
      <c r="I39" s="62">
        <f t="shared" si="15"/>
        <v>0.15</v>
      </c>
      <c r="J39" s="62">
        <f t="shared" si="15"/>
        <v>0.15</v>
      </c>
      <c r="K39" s="62">
        <f t="shared" si="15"/>
        <v>0.15</v>
      </c>
      <c r="L39" s="62">
        <f t="shared" si="15"/>
        <v>0.15</v>
      </c>
      <c r="M39" s="62">
        <f t="shared" si="15"/>
        <v>0.15</v>
      </c>
      <c r="N39" s="62">
        <f t="shared" si="15"/>
        <v>0.15</v>
      </c>
      <c r="O39" s="62">
        <f t="shared" si="15"/>
        <v>0.15</v>
      </c>
      <c r="P39" s="62">
        <f t="shared" si="15"/>
        <v>0.15</v>
      </c>
      <c r="Q39" s="62">
        <f t="shared" si="15"/>
        <v>0.15</v>
      </c>
      <c r="R39" s="62">
        <f t="shared" si="15"/>
        <v>0.15</v>
      </c>
      <c r="S39" s="62">
        <f t="shared" si="15"/>
        <v>0.15</v>
      </c>
      <c r="T39" s="62">
        <f t="shared" si="15"/>
        <v>0.15</v>
      </c>
      <c r="U39" s="62">
        <f t="shared" si="15"/>
        <v>0.15</v>
      </c>
      <c r="V39" s="62">
        <f t="shared" si="15"/>
        <v>0.15</v>
      </c>
      <c r="W39" s="62">
        <f t="shared" si="15"/>
        <v>0.15</v>
      </c>
      <c r="X39" s="62">
        <f t="shared" si="15"/>
        <v>0.15</v>
      </c>
      <c r="Y39" s="62">
        <f t="shared" si="15"/>
        <v>0.15</v>
      </c>
      <c r="Z39" s="62">
        <f t="shared" si="15"/>
        <v>0.15</v>
      </c>
      <c r="AA39" s="62">
        <f t="shared" si="15"/>
        <v>0.15</v>
      </c>
      <c r="AB39" s="62">
        <f t="shared" si="15"/>
        <v>0.15</v>
      </c>
      <c r="AC39" s="62">
        <f t="shared" si="15"/>
        <v>0.15</v>
      </c>
    </row>
    <row r="40" spans="1:29" x14ac:dyDescent="0.35">
      <c r="A40" s="30" t="str">
        <f t="shared" si="4"/>
        <v>Lifetime vehicle</v>
      </c>
      <c r="B40" s="62">
        <f t="shared" si="5"/>
        <v>5</v>
      </c>
      <c r="C40" s="62">
        <f t="shared" ref="C40:AC40" si="16">$B21+($C21-$B21)*(1-R21)</f>
        <v>5</v>
      </c>
      <c r="D40" s="62">
        <f t="shared" si="16"/>
        <v>5</v>
      </c>
      <c r="E40" s="62">
        <f t="shared" si="16"/>
        <v>5</v>
      </c>
      <c r="F40" s="62">
        <f t="shared" si="16"/>
        <v>5</v>
      </c>
      <c r="G40" s="62">
        <f t="shared" si="16"/>
        <v>5</v>
      </c>
      <c r="H40" s="62">
        <f t="shared" si="16"/>
        <v>5</v>
      </c>
      <c r="I40" s="62">
        <f t="shared" si="16"/>
        <v>5</v>
      </c>
      <c r="J40" s="62">
        <f t="shared" si="16"/>
        <v>5</v>
      </c>
      <c r="K40" s="62">
        <f t="shared" si="16"/>
        <v>5</v>
      </c>
      <c r="L40" s="62">
        <f t="shared" si="16"/>
        <v>5</v>
      </c>
      <c r="M40" s="62">
        <f t="shared" si="16"/>
        <v>5</v>
      </c>
      <c r="N40" s="62">
        <f t="shared" si="16"/>
        <v>5</v>
      </c>
      <c r="O40" s="62">
        <f t="shared" si="16"/>
        <v>5</v>
      </c>
      <c r="P40" s="62">
        <f t="shared" si="16"/>
        <v>5</v>
      </c>
      <c r="Q40" s="62">
        <f t="shared" si="16"/>
        <v>5</v>
      </c>
      <c r="R40" s="62">
        <f t="shared" si="16"/>
        <v>5</v>
      </c>
      <c r="S40" s="62">
        <f t="shared" si="16"/>
        <v>5</v>
      </c>
      <c r="T40" s="62">
        <f t="shared" si="16"/>
        <v>5</v>
      </c>
      <c r="U40" s="62">
        <f t="shared" si="16"/>
        <v>5</v>
      </c>
      <c r="V40" s="62">
        <f t="shared" si="16"/>
        <v>5</v>
      </c>
      <c r="W40" s="62">
        <f t="shared" si="16"/>
        <v>5</v>
      </c>
      <c r="X40" s="62">
        <f t="shared" si="16"/>
        <v>5</v>
      </c>
      <c r="Y40" s="62">
        <f t="shared" si="16"/>
        <v>5</v>
      </c>
      <c r="Z40" s="62">
        <f t="shared" si="16"/>
        <v>5</v>
      </c>
      <c r="AA40" s="62">
        <f t="shared" si="16"/>
        <v>5</v>
      </c>
      <c r="AB40" s="62">
        <f t="shared" si="16"/>
        <v>5</v>
      </c>
      <c r="AC40" s="62">
        <f t="shared" si="16"/>
        <v>5</v>
      </c>
    </row>
    <row r="41" spans="1:29" x14ac:dyDescent="0.35">
      <c r="A41" s="30" t="str">
        <f t="shared" si="4"/>
        <v>Lifetime costumization</v>
      </c>
      <c r="B41" s="62">
        <f t="shared" si="5"/>
        <v>12</v>
      </c>
      <c r="C41" s="62">
        <f t="shared" ref="C41:AC41" si="17">$B22+($C22-$B22)*(1-R22)</f>
        <v>12</v>
      </c>
      <c r="D41" s="62">
        <f t="shared" si="17"/>
        <v>12</v>
      </c>
      <c r="E41" s="62">
        <f t="shared" si="17"/>
        <v>12</v>
      </c>
      <c r="F41" s="62">
        <f t="shared" si="17"/>
        <v>12</v>
      </c>
      <c r="G41" s="62">
        <f t="shared" si="17"/>
        <v>12</v>
      </c>
      <c r="H41" s="62">
        <f t="shared" si="17"/>
        <v>12</v>
      </c>
      <c r="I41" s="62">
        <f t="shared" si="17"/>
        <v>12</v>
      </c>
      <c r="J41" s="62">
        <f t="shared" si="17"/>
        <v>12</v>
      </c>
      <c r="K41" s="62">
        <f t="shared" si="17"/>
        <v>12</v>
      </c>
      <c r="L41" s="62">
        <f t="shared" si="17"/>
        <v>12</v>
      </c>
      <c r="M41" s="62">
        <f t="shared" si="17"/>
        <v>12</v>
      </c>
      <c r="N41" s="62">
        <f t="shared" si="17"/>
        <v>12</v>
      </c>
      <c r="O41" s="62">
        <f t="shared" si="17"/>
        <v>12</v>
      </c>
      <c r="P41" s="62">
        <f t="shared" si="17"/>
        <v>12</v>
      </c>
      <c r="Q41" s="62">
        <f t="shared" si="17"/>
        <v>12</v>
      </c>
      <c r="R41" s="62">
        <f t="shared" si="17"/>
        <v>12</v>
      </c>
      <c r="S41" s="62">
        <f t="shared" si="17"/>
        <v>12</v>
      </c>
      <c r="T41" s="62">
        <f t="shared" si="17"/>
        <v>12</v>
      </c>
      <c r="U41" s="62">
        <f t="shared" si="17"/>
        <v>12</v>
      </c>
      <c r="V41" s="62">
        <f t="shared" si="17"/>
        <v>12</v>
      </c>
      <c r="W41" s="62">
        <f t="shared" si="17"/>
        <v>12</v>
      </c>
      <c r="X41" s="62">
        <f t="shared" si="17"/>
        <v>12</v>
      </c>
      <c r="Y41" s="62">
        <f t="shared" si="17"/>
        <v>12</v>
      </c>
      <c r="Z41" s="62">
        <f t="shared" si="17"/>
        <v>12</v>
      </c>
      <c r="AA41" s="62">
        <f t="shared" si="17"/>
        <v>12</v>
      </c>
      <c r="AB41" s="62">
        <f t="shared" si="17"/>
        <v>12</v>
      </c>
      <c r="AC41" s="62">
        <f t="shared" si="17"/>
        <v>12</v>
      </c>
    </row>
    <row r="42" spans="1:29" x14ac:dyDescent="0.35">
      <c r="A42" s="30" t="str">
        <f t="shared" si="4"/>
        <v>Tonnage .</v>
      </c>
      <c r="B42" s="62">
        <f t="shared" si="5"/>
        <v>29</v>
      </c>
      <c r="C42" s="62">
        <f t="shared" ref="C42:AC42" si="18">$B23+($C23-$B23)*(1-R23)</f>
        <v>29</v>
      </c>
      <c r="D42" s="62">
        <f t="shared" si="18"/>
        <v>29</v>
      </c>
      <c r="E42" s="62">
        <f t="shared" si="18"/>
        <v>29</v>
      </c>
      <c r="F42" s="62">
        <f t="shared" si="18"/>
        <v>29</v>
      </c>
      <c r="G42" s="62">
        <f t="shared" si="18"/>
        <v>29</v>
      </c>
      <c r="H42" s="62">
        <f t="shared" si="18"/>
        <v>29</v>
      </c>
      <c r="I42" s="62">
        <f t="shared" si="18"/>
        <v>29</v>
      </c>
      <c r="J42" s="62">
        <f t="shared" si="18"/>
        <v>29</v>
      </c>
      <c r="K42" s="62">
        <f t="shared" si="18"/>
        <v>29</v>
      </c>
      <c r="L42" s="62">
        <f t="shared" si="18"/>
        <v>29</v>
      </c>
      <c r="M42" s="62">
        <f t="shared" si="18"/>
        <v>29</v>
      </c>
      <c r="N42" s="62">
        <f t="shared" si="18"/>
        <v>29</v>
      </c>
      <c r="O42" s="62">
        <f t="shared" si="18"/>
        <v>29</v>
      </c>
      <c r="P42" s="62">
        <f t="shared" si="18"/>
        <v>29</v>
      </c>
      <c r="Q42" s="62">
        <f t="shared" si="18"/>
        <v>29</v>
      </c>
      <c r="R42" s="62">
        <f t="shared" si="18"/>
        <v>29</v>
      </c>
      <c r="S42" s="62">
        <f t="shared" si="18"/>
        <v>29</v>
      </c>
      <c r="T42" s="62">
        <f t="shared" si="18"/>
        <v>29</v>
      </c>
      <c r="U42" s="62">
        <f t="shared" si="18"/>
        <v>29</v>
      </c>
      <c r="V42" s="62">
        <f t="shared" si="18"/>
        <v>29</v>
      </c>
      <c r="W42" s="62">
        <f t="shared" si="18"/>
        <v>29</v>
      </c>
      <c r="X42" s="62">
        <f t="shared" si="18"/>
        <v>29</v>
      </c>
      <c r="Y42" s="62">
        <f t="shared" si="18"/>
        <v>29</v>
      </c>
      <c r="Z42" s="62">
        <f t="shared" si="18"/>
        <v>29</v>
      </c>
      <c r="AA42" s="62">
        <f t="shared" si="18"/>
        <v>29</v>
      </c>
      <c r="AB42" s="62">
        <f t="shared" si="18"/>
        <v>29</v>
      </c>
      <c r="AC42" s="62">
        <f t="shared" si="18"/>
        <v>29</v>
      </c>
    </row>
    <row r="43" spans="1:29" x14ac:dyDescent="0.35">
      <c r="A43" s="30" t="str">
        <f t="shared" si="4"/>
        <v>Market failure (av. utilization)</v>
      </c>
      <c r="B43" s="62">
        <f>($B24+($C24-$B24)*(1-Q24))*B$42</f>
        <v>13.34</v>
      </c>
      <c r="C43" s="62">
        <f t="shared" ref="C43:AC43" si="19">($B24+($C24-$B24)*(1-R24))*C$42</f>
        <v>13.34</v>
      </c>
      <c r="D43" s="62">
        <f t="shared" si="19"/>
        <v>13.34</v>
      </c>
      <c r="E43" s="62">
        <f t="shared" si="19"/>
        <v>13.34</v>
      </c>
      <c r="F43" s="62">
        <f t="shared" si="19"/>
        <v>13.34</v>
      </c>
      <c r="G43" s="62">
        <f t="shared" si="19"/>
        <v>13.34</v>
      </c>
      <c r="H43" s="62">
        <f t="shared" si="19"/>
        <v>13.34</v>
      </c>
      <c r="I43" s="62">
        <f t="shared" si="19"/>
        <v>13.34</v>
      </c>
      <c r="J43" s="62">
        <f t="shared" si="19"/>
        <v>13.34</v>
      </c>
      <c r="K43" s="62">
        <f t="shared" si="19"/>
        <v>13.34</v>
      </c>
      <c r="L43" s="62">
        <f t="shared" si="19"/>
        <v>13.34</v>
      </c>
      <c r="M43" s="62">
        <f t="shared" si="19"/>
        <v>13.34</v>
      </c>
      <c r="N43" s="62">
        <f t="shared" si="19"/>
        <v>13.34</v>
      </c>
      <c r="O43" s="62">
        <f t="shared" si="19"/>
        <v>13.34</v>
      </c>
      <c r="P43" s="62">
        <f t="shared" si="19"/>
        <v>13.34</v>
      </c>
      <c r="Q43" s="62">
        <f t="shared" si="19"/>
        <v>13.34</v>
      </c>
      <c r="R43" s="62">
        <f t="shared" si="19"/>
        <v>13.34</v>
      </c>
      <c r="S43" s="62">
        <f t="shared" si="19"/>
        <v>13.34</v>
      </c>
      <c r="T43" s="62">
        <f t="shared" si="19"/>
        <v>13.34</v>
      </c>
      <c r="U43" s="62">
        <f t="shared" si="19"/>
        <v>13.34</v>
      </c>
      <c r="V43" s="62">
        <f t="shared" si="19"/>
        <v>13.34</v>
      </c>
      <c r="W43" s="62">
        <f t="shared" si="19"/>
        <v>13.34</v>
      </c>
      <c r="X43" s="62">
        <f t="shared" si="19"/>
        <v>13.34</v>
      </c>
      <c r="Y43" s="62">
        <f t="shared" si="19"/>
        <v>13.34</v>
      </c>
      <c r="Z43" s="62">
        <f t="shared" si="19"/>
        <v>13.34</v>
      </c>
      <c r="AA43" s="62">
        <f t="shared" si="19"/>
        <v>13.34</v>
      </c>
      <c r="AB43" s="62">
        <f t="shared" si="19"/>
        <v>13.34</v>
      </c>
      <c r="AC43" s="62">
        <f t="shared" si="19"/>
        <v>13.34</v>
      </c>
    </row>
    <row r="44" spans="1:29" x14ac:dyDescent="0.35">
      <c r="A44" s="30" t="s">
        <v>73</v>
      </c>
      <c r="B44" s="62">
        <f>($B25+($C25-$B25)*(1-Q25))*B$42</f>
        <v>1.4500000000000002</v>
      </c>
      <c r="C44" s="62">
        <f t="shared" ref="C44:AC44" si="20">($B25+($C25-$B25)*(1-R25))*C$42</f>
        <v>1.4500000000000002</v>
      </c>
      <c r="D44" s="62">
        <f t="shared" si="20"/>
        <v>1.4500000000000002</v>
      </c>
      <c r="E44" s="62">
        <f t="shared" si="20"/>
        <v>1.4500000000000002</v>
      </c>
      <c r="F44" s="62">
        <f t="shared" si="20"/>
        <v>1.4500000000000002</v>
      </c>
      <c r="G44" s="62">
        <f t="shared" si="20"/>
        <v>1.4500000000000002</v>
      </c>
      <c r="H44" s="62">
        <f t="shared" si="20"/>
        <v>1.4500000000000002</v>
      </c>
      <c r="I44" s="62">
        <f t="shared" si="20"/>
        <v>1.4500000000000002</v>
      </c>
      <c r="J44" s="62">
        <f t="shared" si="20"/>
        <v>1.4500000000000002</v>
      </c>
      <c r="K44" s="62">
        <f t="shared" si="20"/>
        <v>1.4500000000000002</v>
      </c>
      <c r="L44" s="62">
        <f t="shared" si="20"/>
        <v>1.4500000000000002</v>
      </c>
      <c r="M44" s="62">
        <f t="shared" si="20"/>
        <v>1.4500000000000002</v>
      </c>
      <c r="N44" s="62">
        <f t="shared" si="20"/>
        <v>1.4500000000000002</v>
      </c>
      <c r="O44" s="62">
        <f t="shared" si="20"/>
        <v>1.4500000000000002</v>
      </c>
      <c r="P44" s="62">
        <f t="shared" si="20"/>
        <v>1.4500000000000002</v>
      </c>
      <c r="Q44" s="62">
        <f t="shared" si="20"/>
        <v>1.4500000000000002</v>
      </c>
      <c r="R44" s="62">
        <f t="shared" si="20"/>
        <v>1.4500000000000002</v>
      </c>
      <c r="S44" s="62">
        <f t="shared" si="20"/>
        <v>1.4500000000000002</v>
      </c>
      <c r="T44" s="62">
        <f t="shared" si="20"/>
        <v>1.4500000000000002</v>
      </c>
      <c r="U44" s="62">
        <f t="shared" si="20"/>
        <v>1.4500000000000002</v>
      </c>
      <c r="V44" s="62">
        <f t="shared" si="20"/>
        <v>1.4500000000000002</v>
      </c>
      <c r="W44" s="62">
        <f t="shared" si="20"/>
        <v>1.4500000000000002</v>
      </c>
      <c r="X44" s="62">
        <f t="shared" si="20"/>
        <v>1.4500000000000002</v>
      </c>
      <c r="Y44" s="62">
        <f t="shared" si="20"/>
        <v>1.4500000000000002</v>
      </c>
      <c r="Z44" s="62">
        <f t="shared" si="20"/>
        <v>1.4500000000000002</v>
      </c>
      <c r="AA44" s="62">
        <f t="shared" si="20"/>
        <v>1.4500000000000002</v>
      </c>
      <c r="AB44" s="62">
        <f t="shared" si="20"/>
        <v>1.4500000000000002</v>
      </c>
      <c r="AC44" s="62">
        <f t="shared" si="20"/>
        <v>1.4500000000000002</v>
      </c>
    </row>
    <row r="45" spans="1:29" x14ac:dyDescent="0.35">
      <c r="A45" s="30" t="str">
        <f>A26</f>
        <v>Annual Mileage</v>
      </c>
      <c r="B45" s="62">
        <f t="shared" ref="B45" si="21">$B26+($C26-$B26)*(1-Q26)</f>
        <v>105000</v>
      </c>
      <c r="C45" s="62">
        <f t="shared" ref="C45:AC45" si="22">$B26+($C26-$B26)*(1-R26)</f>
        <v>105000</v>
      </c>
      <c r="D45" s="62">
        <f t="shared" si="22"/>
        <v>105000</v>
      </c>
      <c r="E45" s="62">
        <f t="shared" si="22"/>
        <v>105000</v>
      </c>
      <c r="F45" s="62">
        <f t="shared" si="22"/>
        <v>105000</v>
      </c>
      <c r="G45" s="62">
        <f t="shared" si="22"/>
        <v>105000</v>
      </c>
      <c r="H45" s="62">
        <f t="shared" si="22"/>
        <v>105000</v>
      </c>
      <c r="I45" s="62">
        <f t="shared" si="22"/>
        <v>105000</v>
      </c>
      <c r="J45" s="62">
        <f t="shared" si="22"/>
        <v>105000</v>
      </c>
      <c r="K45" s="62">
        <f t="shared" si="22"/>
        <v>105000</v>
      </c>
      <c r="L45" s="62">
        <f t="shared" si="22"/>
        <v>105000</v>
      </c>
      <c r="M45" s="62">
        <f t="shared" si="22"/>
        <v>105000</v>
      </c>
      <c r="N45" s="62">
        <f t="shared" si="22"/>
        <v>105000</v>
      </c>
      <c r="O45" s="62">
        <f t="shared" si="22"/>
        <v>105000</v>
      </c>
      <c r="P45" s="62">
        <f t="shared" si="22"/>
        <v>105000</v>
      </c>
      <c r="Q45" s="62">
        <f t="shared" si="22"/>
        <v>105000</v>
      </c>
      <c r="R45" s="62">
        <f t="shared" si="22"/>
        <v>105000</v>
      </c>
      <c r="S45" s="62">
        <f t="shared" si="22"/>
        <v>105000</v>
      </c>
      <c r="T45" s="62">
        <f t="shared" si="22"/>
        <v>105000</v>
      </c>
      <c r="U45" s="62">
        <f t="shared" si="22"/>
        <v>105000</v>
      </c>
      <c r="V45" s="62">
        <f t="shared" si="22"/>
        <v>105000</v>
      </c>
      <c r="W45" s="62">
        <f t="shared" si="22"/>
        <v>105000</v>
      </c>
      <c r="X45" s="62">
        <f t="shared" si="22"/>
        <v>105000</v>
      </c>
      <c r="Y45" s="62">
        <f t="shared" si="22"/>
        <v>105000</v>
      </c>
      <c r="Z45" s="62">
        <f t="shared" si="22"/>
        <v>105000</v>
      </c>
      <c r="AA45" s="62">
        <f t="shared" si="22"/>
        <v>105000</v>
      </c>
      <c r="AB45" s="62">
        <f t="shared" si="22"/>
        <v>105000</v>
      </c>
      <c r="AC45" s="62">
        <f t="shared" si="22"/>
        <v>105000</v>
      </c>
    </row>
    <row r="46" spans="1:29" ht="15" thickBot="1" x14ac:dyDescent="0.4">
      <c r="AC46" s="32"/>
    </row>
    <row r="47" spans="1:29" ht="15" thickBot="1" x14ac:dyDescent="0.4">
      <c r="A47" s="26" t="s">
        <v>206</v>
      </c>
      <c r="B47" s="27">
        <v>2023</v>
      </c>
      <c r="C47" s="27">
        <v>2024</v>
      </c>
      <c r="D47" s="27">
        <v>2025</v>
      </c>
      <c r="E47" s="27">
        <v>2026</v>
      </c>
      <c r="F47" s="27">
        <v>2027</v>
      </c>
      <c r="G47" s="27">
        <v>2028</v>
      </c>
      <c r="H47" s="27">
        <v>2029</v>
      </c>
      <c r="I47" s="27">
        <v>2030</v>
      </c>
      <c r="J47" s="27">
        <v>2031</v>
      </c>
      <c r="K47" s="27">
        <v>2032</v>
      </c>
      <c r="L47" s="27">
        <v>2033</v>
      </c>
      <c r="M47" s="27">
        <v>2034</v>
      </c>
      <c r="N47" s="27">
        <v>2035</v>
      </c>
      <c r="O47" s="27">
        <v>2036</v>
      </c>
      <c r="P47" s="27">
        <v>2037</v>
      </c>
      <c r="Q47" s="27">
        <v>2038</v>
      </c>
      <c r="R47" s="27">
        <v>2039</v>
      </c>
      <c r="S47" s="27">
        <v>2040</v>
      </c>
      <c r="T47" s="27">
        <v>2041</v>
      </c>
      <c r="U47" s="27">
        <v>2042</v>
      </c>
      <c r="V47" s="27">
        <v>2043</v>
      </c>
      <c r="W47" s="27">
        <v>2044</v>
      </c>
      <c r="X47" s="27">
        <v>2045</v>
      </c>
      <c r="Y47" s="27">
        <v>2046</v>
      </c>
      <c r="Z47" s="27">
        <v>2047</v>
      </c>
      <c r="AA47" s="27">
        <v>2048</v>
      </c>
      <c r="AB47" s="27">
        <v>2049</v>
      </c>
      <c r="AC47" s="28">
        <v>2050</v>
      </c>
    </row>
    <row r="48" spans="1:29" x14ac:dyDescent="0.35">
      <c r="A48" s="29" t="str">
        <f>A30</f>
        <v>Capex vehicle</v>
      </c>
      <c r="B48" s="63">
        <f>((1+B$34)^B$40)*B$34/(((1+B$34)^B$40)-1)*(B$30)</f>
        <v>23739.640043118936</v>
      </c>
      <c r="C48" s="63">
        <f t="shared" ref="C48:AC48" si="23">((1+C$34)^C$40)*C$34/(((1+C$34)^C$40)-1)*(C$30)</f>
        <v>23739.640043118936</v>
      </c>
      <c r="D48" s="63">
        <f t="shared" si="23"/>
        <v>23739.640043118936</v>
      </c>
      <c r="E48" s="63">
        <f t="shared" si="23"/>
        <v>23739.640043118936</v>
      </c>
      <c r="F48" s="63">
        <f t="shared" si="23"/>
        <v>23739.640043118936</v>
      </c>
      <c r="G48" s="63">
        <f t="shared" si="23"/>
        <v>23739.640043118936</v>
      </c>
      <c r="H48" s="63">
        <f t="shared" si="23"/>
        <v>23739.640043118936</v>
      </c>
      <c r="I48" s="63">
        <f t="shared" si="23"/>
        <v>23739.640043118936</v>
      </c>
      <c r="J48" s="63">
        <f t="shared" si="23"/>
        <v>23739.640043118936</v>
      </c>
      <c r="K48" s="63">
        <f t="shared" si="23"/>
        <v>23739.640043118936</v>
      </c>
      <c r="L48" s="63">
        <f t="shared" si="23"/>
        <v>23739.640043118936</v>
      </c>
      <c r="M48" s="63">
        <f t="shared" si="23"/>
        <v>23739.640043118936</v>
      </c>
      <c r="N48" s="63">
        <f t="shared" si="23"/>
        <v>23739.640043118936</v>
      </c>
      <c r="O48" s="63">
        <f t="shared" si="23"/>
        <v>23739.640043118936</v>
      </c>
      <c r="P48" s="63">
        <f t="shared" si="23"/>
        <v>23739.640043118936</v>
      </c>
      <c r="Q48" s="63">
        <f t="shared" si="23"/>
        <v>23739.640043118936</v>
      </c>
      <c r="R48" s="63">
        <f t="shared" si="23"/>
        <v>23739.640043118936</v>
      </c>
      <c r="S48" s="63">
        <f t="shared" si="23"/>
        <v>23739.640043118936</v>
      </c>
      <c r="T48" s="63">
        <f t="shared" si="23"/>
        <v>23739.640043118936</v>
      </c>
      <c r="U48" s="63">
        <f t="shared" si="23"/>
        <v>23739.640043118936</v>
      </c>
      <c r="V48" s="63">
        <f t="shared" si="23"/>
        <v>23739.640043118936</v>
      </c>
      <c r="W48" s="63">
        <f t="shared" si="23"/>
        <v>23739.640043118936</v>
      </c>
      <c r="X48" s="63">
        <f t="shared" si="23"/>
        <v>23739.640043118936</v>
      </c>
      <c r="Y48" s="63">
        <f t="shared" si="23"/>
        <v>23739.640043118936</v>
      </c>
      <c r="Z48" s="63">
        <f t="shared" si="23"/>
        <v>23739.640043118936</v>
      </c>
      <c r="AA48" s="63">
        <f t="shared" si="23"/>
        <v>23739.640043118936</v>
      </c>
      <c r="AB48" s="63">
        <f t="shared" si="23"/>
        <v>23739.640043118936</v>
      </c>
      <c r="AC48" s="63">
        <f t="shared" si="23"/>
        <v>23739.640043118936</v>
      </c>
    </row>
    <row r="49" spans="1:29" x14ac:dyDescent="0.35">
      <c r="A49" s="30" t="str">
        <f>A31</f>
        <v>Residual value (vehicle)</v>
      </c>
      <c r="B49" s="62">
        <f>((1+B$34)^B$40)*B$34/(((1+B$34)^B$40)-1)*(B$31)</f>
        <v>-7121.8920129356811</v>
      </c>
      <c r="C49" s="62">
        <f t="shared" ref="C49:AC49" si="24">((1+C$34)^C$40)*C$34/(((1+C$34)^C$40)-1)*(C$31)</f>
        <v>-7121.8920129356811</v>
      </c>
      <c r="D49" s="62">
        <f t="shared" si="24"/>
        <v>-7121.8920129356811</v>
      </c>
      <c r="E49" s="62">
        <f t="shared" si="24"/>
        <v>-7121.8920129356811</v>
      </c>
      <c r="F49" s="62">
        <f t="shared" si="24"/>
        <v>-7121.8920129356811</v>
      </c>
      <c r="G49" s="62">
        <f t="shared" si="24"/>
        <v>-7121.8920129356811</v>
      </c>
      <c r="H49" s="62">
        <f t="shared" si="24"/>
        <v>-7121.8920129356811</v>
      </c>
      <c r="I49" s="62">
        <f t="shared" si="24"/>
        <v>-7121.8920129356811</v>
      </c>
      <c r="J49" s="62">
        <f t="shared" si="24"/>
        <v>-7121.8920129356811</v>
      </c>
      <c r="K49" s="62">
        <f t="shared" si="24"/>
        <v>-7121.8920129356811</v>
      </c>
      <c r="L49" s="62">
        <f t="shared" si="24"/>
        <v>-7121.8920129356811</v>
      </c>
      <c r="M49" s="62">
        <f t="shared" si="24"/>
        <v>-7121.8920129356811</v>
      </c>
      <c r="N49" s="62">
        <f t="shared" si="24"/>
        <v>-7121.8920129356811</v>
      </c>
      <c r="O49" s="62">
        <f t="shared" si="24"/>
        <v>-7121.8920129356811</v>
      </c>
      <c r="P49" s="62">
        <f t="shared" si="24"/>
        <v>-7121.8920129356811</v>
      </c>
      <c r="Q49" s="62">
        <f t="shared" si="24"/>
        <v>-7121.8920129356811</v>
      </c>
      <c r="R49" s="62">
        <f t="shared" si="24"/>
        <v>-7121.8920129356811</v>
      </c>
      <c r="S49" s="62">
        <f t="shared" si="24"/>
        <v>-7121.8920129356811</v>
      </c>
      <c r="T49" s="62">
        <f t="shared" si="24"/>
        <v>-7121.8920129356811</v>
      </c>
      <c r="U49" s="62">
        <f t="shared" si="24"/>
        <v>-7121.8920129356811</v>
      </c>
      <c r="V49" s="62">
        <f t="shared" si="24"/>
        <v>-7121.8920129356811</v>
      </c>
      <c r="W49" s="62">
        <f t="shared" si="24"/>
        <v>-7121.8920129356811</v>
      </c>
      <c r="X49" s="62">
        <f t="shared" si="24"/>
        <v>-7121.8920129356811</v>
      </c>
      <c r="Y49" s="62">
        <f t="shared" si="24"/>
        <v>-7121.8920129356811</v>
      </c>
      <c r="Z49" s="62">
        <f t="shared" si="24"/>
        <v>-7121.8920129356811</v>
      </c>
      <c r="AA49" s="62">
        <f t="shared" si="24"/>
        <v>-7121.8920129356811</v>
      </c>
      <c r="AB49" s="62">
        <f t="shared" si="24"/>
        <v>-7121.8920129356811</v>
      </c>
      <c r="AC49" s="62">
        <f t="shared" si="24"/>
        <v>-7121.8920129356811</v>
      </c>
    </row>
    <row r="50" spans="1:29" x14ac:dyDescent="0.35">
      <c r="A50" s="30" t="str">
        <f>A32</f>
        <v>Capex costumization</v>
      </c>
      <c r="B50" s="62">
        <f>((1+B$34)^B$41)*B$34/(((1+B$34)^B$41)-1)*(B$32)</f>
        <v>5963.8514690331776</v>
      </c>
      <c r="C50" s="62">
        <f t="shared" ref="C50:AC50" si="25">((1+C$34)^C$41)*C$34/(((1+C$34)^C$41)-1)*(C$32)</f>
        <v>5963.8514690331776</v>
      </c>
      <c r="D50" s="62">
        <f t="shared" si="25"/>
        <v>5963.8514690331776</v>
      </c>
      <c r="E50" s="62">
        <f t="shared" si="25"/>
        <v>5963.8514690331776</v>
      </c>
      <c r="F50" s="62">
        <f t="shared" si="25"/>
        <v>5963.8514690331776</v>
      </c>
      <c r="G50" s="62">
        <f t="shared" si="25"/>
        <v>5963.8514690331776</v>
      </c>
      <c r="H50" s="62">
        <f t="shared" si="25"/>
        <v>5963.8514690331776</v>
      </c>
      <c r="I50" s="62">
        <f t="shared" si="25"/>
        <v>5963.8514690331776</v>
      </c>
      <c r="J50" s="62">
        <f t="shared" si="25"/>
        <v>5963.8514690331776</v>
      </c>
      <c r="K50" s="62">
        <f t="shared" si="25"/>
        <v>5963.8514690331776</v>
      </c>
      <c r="L50" s="62">
        <f t="shared" si="25"/>
        <v>5963.8514690331776</v>
      </c>
      <c r="M50" s="62">
        <f t="shared" si="25"/>
        <v>5963.8514690331776</v>
      </c>
      <c r="N50" s="62">
        <f t="shared" si="25"/>
        <v>5963.8514690331776</v>
      </c>
      <c r="O50" s="62">
        <f t="shared" si="25"/>
        <v>5963.8514690331776</v>
      </c>
      <c r="P50" s="62">
        <f t="shared" si="25"/>
        <v>5963.8514690331776</v>
      </c>
      <c r="Q50" s="62">
        <f t="shared" si="25"/>
        <v>5963.8514690331776</v>
      </c>
      <c r="R50" s="62">
        <f t="shared" si="25"/>
        <v>5963.8514690331776</v>
      </c>
      <c r="S50" s="62">
        <f t="shared" si="25"/>
        <v>5963.8514690331776</v>
      </c>
      <c r="T50" s="62">
        <f t="shared" si="25"/>
        <v>5963.8514690331776</v>
      </c>
      <c r="U50" s="62">
        <f t="shared" si="25"/>
        <v>5963.8514690331776</v>
      </c>
      <c r="V50" s="62">
        <f t="shared" si="25"/>
        <v>5963.8514690331776</v>
      </c>
      <c r="W50" s="62">
        <f t="shared" si="25"/>
        <v>5963.8514690331776</v>
      </c>
      <c r="X50" s="62">
        <f t="shared" si="25"/>
        <v>5963.8514690331776</v>
      </c>
      <c r="Y50" s="62">
        <f t="shared" si="25"/>
        <v>5963.8514690331776</v>
      </c>
      <c r="Z50" s="62">
        <f t="shared" si="25"/>
        <v>5963.8514690331776</v>
      </c>
      <c r="AA50" s="62">
        <f t="shared" si="25"/>
        <v>5963.8514690331776</v>
      </c>
      <c r="AB50" s="62">
        <f t="shared" si="25"/>
        <v>5963.8514690331776</v>
      </c>
      <c r="AC50" s="62">
        <f t="shared" si="25"/>
        <v>5963.8514690331776</v>
      </c>
    </row>
    <row r="51" spans="1:29" x14ac:dyDescent="0.35">
      <c r="A51" s="30" t="str">
        <f>A33</f>
        <v>Residual value (costumization)</v>
      </c>
      <c r="B51" s="62">
        <f>((1+B$34)^B$41)*B$34/(((1+B$34)^B$41)-1)*(B$33)</f>
        <v>-596.38514690331772</v>
      </c>
      <c r="C51" s="62">
        <f t="shared" ref="C51:AC51" si="26">((1+C$34)^C$41)*C$34/(((1+C$34)^C$41)-1)*(C$33)</f>
        <v>-596.38514690331772</v>
      </c>
      <c r="D51" s="62">
        <f t="shared" si="26"/>
        <v>-596.38514690331772</v>
      </c>
      <c r="E51" s="62">
        <f t="shared" si="26"/>
        <v>-596.38514690331772</v>
      </c>
      <c r="F51" s="62">
        <f t="shared" si="26"/>
        <v>-596.38514690331772</v>
      </c>
      <c r="G51" s="62">
        <f t="shared" si="26"/>
        <v>-596.38514690331772</v>
      </c>
      <c r="H51" s="62">
        <f t="shared" si="26"/>
        <v>-596.38514690331772</v>
      </c>
      <c r="I51" s="62">
        <f t="shared" si="26"/>
        <v>-596.38514690331772</v>
      </c>
      <c r="J51" s="62">
        <f t="shared" si="26"/>
        <v>-596.38514690331772</v>
      </c>
      <c r="K51" s="62">
        <f t="shared" si="26"/>
        <v>-596.38514690331772</v>
      </c>
      <c r="L51" s="62">
        <f t="shared" si="26"/>
        <v>-596.38514690331772</v>
      </c>
      <c r="M51" s="62">
        <f t="shared" si="26"/>
        <v>-596.38514690331772</v>
      </c>
      <c r="N51" s="62">
        <f t="shared" si="26"/>
        <v>-596.38514690331772</v>
      </c>
      <c r="O51" s="62">
        <f t="shared" si="26"/>
        <v>-596.38514690331772</v>
      </c>
      <c r="P51" s="62">
        <f t="shared" si="26"/>
        <v>-596.38514690331772</v>
      </c>
      <c r="Q51" s="62">
        <f t="shared" si="26"/>
        <v>-596.38514690331772</v>
      </c>
      <c r="R51" s="62">
        <f t="shared" si="26"/>
        <v>-596.38514690331772</v>
      </c>
      <c r="S51" s="62">
        <f t="shared" si="26"/>
        <v>-596.38514690331772</v>
      </c>
      <c r="T51" s="62">
        <f t="shared" si="26"/>
        <v>-596.38514690331772</v>
      </c>
      <c r="U51" s="62">
        <f t="shared" si="26"/>
        <v>-596.38514690331772</v>
      </c>
      <c r="V51" s="62">
        <f t="shared" si="26"/>
        <v>-596.38514690331772</v>
      </c>
      <c r="W51" s="62">
        <f t="shared" si="26"/>
        <v>-596.38514690331772</v>
      </c>
      <c r="X51" s="62">
        <f t="shared" si="26"/>
        <v>-596.38514690331772</v>
      </c>
      <c r="Y51" s="62">
        <f t="shared" si="26"/>
        <v>-596.38514690331772</v>
      </c>
      <c r="Z51" s="62">
        <f t="shared" si="26"/>
        <v>-596.38514690331772</v>
      </c>
      <c r="AA51" s="62">
        <f t="shared" si="26"/>
        <v>-596.38514690331772</v>
      </c>
      <c r="AB51" s="62">
        <f t="shared" si="26"/>
        <v>-596.38514690331772</v>
      </c>
      <c r="AC51" s="62">
        <f t="shared" si="26"/>
        <v>-596.38514690331772</v>
      </c>
    </row>
    <row r="52" spans="1:29" x14ac:dyDescent="0.35">
      <c r="A52" s="30" t="str">
        <f>A35</f>
        <v>Opex fix (admin, crew, insurance)</v>
      </c>
      <c r="B52" s="62">
        <f>B$35</f>
        <v>85000</v>
      </c>
      <c r="C52" s="62">
        <f t="shared" ref="C52:AC52" si="27">C$35</f>
        <v>85000</v>
      </c>
      <c r="D52" s="62">
        <f t="shared" si="27"/>
        <v>85000</v>
      </c>
      <c r="E52" s="62">
        <f t="shared" si="27"/>
        <v>85000</v>
      </c>
      <c r="F52" s="62">
        <f t="shared" si="27"/>
        <v>85000</v>
      </c>
      <c r="G52" s="62">
        <f t="shared" si="27"/>
        <v>85000</v>
      </c>
      <c r="H52" s="62">
        <f t="shared" si="27"/>
        <v>85000</v>
      </c>
      <c r="I52" s="62">
        <f t="shared" si="27"/>
        <v>85000</v>
      </c>
      <c r="J52" s="62">
        <f t="shared" si="27"/>
        <v>85000</v>
      </c>
      <c r="K52" s="62">
        <f t="shared" si="27"/>
        <v>85000</v>
      </c>
      <c r="L52" s="62">
        <f t="shared" si="27"/>
        <v>85000</v>
      </c>
      <c r="M52" s="62">
        <f t="shared" si="27"/>
        <v>85000</v>
      </c>
      <c r="N52" s="62">
        <f t="shared" si="27"/>
        <v>85000</v>
      </c>
      <c r="O52" s="62">
        <f t="shared" si="27"/>
        <v>85000</v>
      </c>
      <c r="P52" s="62">
        <f t="shared" si="27"/>
        <v>85000</v>
      </c>
      <c r="Q52" s="62">
        <f t="shared" si="27"/>
        <v>85000</v>
      </c>
      <c r="R52" s="62">
        <f t="shared" si="27"/>
        <v>85000</v>
      </c>
      <c r="S52" s="62">
        <f t="shared" si="27"/>
        <v>85000</v>
      </c>
      <c r="T52" s="62">
        <f t="shared" si="27"/>
        <v>85000</v>
      </c>
      <c r="U52" s="62">
        <f t="shared" si="27"/>
        <v>85000</v>
      </c>
      <c r="V52" s="62">
        <f t="shared" si="27"/>
        <v>85000</v>
      </c>
      <c r="W52" s="62">
        <f t="shared" si="27"/>
        <v>85000</v>
      </c>
      <c r="X52" s="62">
        <f t="shared" si="27"/>
        <v>85000</v>
      </c>
      <c r="Y52" s="62">
        <f t="shared" si="27"/>
        <v>85000</v>
      </c>
      <c r="Z52" s="62">
        <f t="shared" si="27"/>
        <v>85000</v>
      </c>
      <c r="AA52" s="62">
        <f t="shared" si="27"/>
        <v>85000</v>
      </c>
      <c r="AB52" s="62">
        <f t="shared" si="27"/>
        <v>85000</v>
      </c>
      <c r="AC52" s="62">
        <f t="shared" si="27"/>
        <v>85000</v>
      </c>
    </row>
    <row r="53" spans="1:29" x14ac:dyDescent="0.35">
      <c r="A53" s="30" t="str">
        <f>A36</f>
        <v>Opex maintenance &amp; repair</v>
      </c>
      <c r="B53" s="62">
        <f>B$36</f>
        <v>20000</v>
      </c>
      <c r="C53" s="62">
        <f t="shared" ref="C53:AC53" si="28">C$36</f>
        <v>20000</v>
      </c>
      <c r="D53" s="62">
        <f t="shared" si="28"/>
        <v>20000</v>
      </c>
      <c r="E53" s="62">
        <f t="shared" si="28"/>
        <v>20000</v>
      </c>
      <c r="F53" s="62">
        <f t="shared" si="28"/>
        <v>20000</v>
      </c>
      <c r="G53" s="62">
        <f t="shared" si="28"/>
        <v>20000</v>
      </c>
      <c r="H53" s="62">
        <f t="shared" si="28"/>
        <v>20000</v>
      </c>
      <c r="I53" s="62">
        <f t="shared" si="28"/>
        <v>20000</v>
      </c>
      <c r="J53" s="62">
        <f t="shared" si="28"/>
        <v>20000</v>
      </c>
      <c r="K53" s="62">
        <f t="shared" si="28"/>
        <v>20000</v>
      </c>
      <c r="L53" s="62">
        <f t="shared" si="28"/>
        <v>20000</v>
      </c>
      <c r="M53" s="62">
        <f t="shared" si="28"/>
        <v>20000</v>
      </c>
      <c r="N53" s="62">
        <f t="shared" si="28"/>
        <v>20000</v>
      </c>
      <c r="O53" s="62">
        <f t="shared" si="28"/>
        <v>20000</v>
      </c>
      <c r="P53" s="62">
        <f t="shared" si="28"/>
        <v>20000</v>
      </c>
      <c r="Q53" s="62">
        <f t="shared" si="28"/>
        <v>20000</v>
      </c>
      <c r="R53" s="62">
        <f t="shared" si="28"/>
        <v>20000</v>
      </c>
      <c r="S53" s="62">
        <f t="shared" si="28"/>
        <v>20000</v>
      </c>
      <c r="T53" s="62">
        <f t="shared" si="28"/>
        <v>20000</v>
      </c>
      <c r="U53" s="62">
        <f t="shared" si="28"/>
        <v>20000</v>
      </c>
      <c r="V53" s="62">
        <f t="shared" si="28"/>
        <v>20000</v>
      </c>
      <c r="W53" s="62">
        <f t="shared" si="28"/>
        <v>20000</v>
      </c>
      <c r="X53" s="62">
        <f t="shared" si="28"/>
        <v>20000</v>
      </c>
      <c r="Y53" s="62">
        <f t="shared" si="28"/>
        <v>20000</v>
      </c>
      <c r="Z53" s="62">
        <f t="shared" si="28"/>
        <v>20000</v>
      </c>
      <c r="AA53" s="62">
        <f t="shared" si="28"/>
        <v>20000</v>
      </c>
      <c r="AB53" s="62">
        <f t="shared" si="28"/>
        <v>20000</v>
      </c>
      <c r="AC53" s="62">
        <f t="shared" si="28"/>
        <v>20000</v>
      </c>
    </row>
    <row r="54" spans="1:29" x14ac:dyDescent="0.35">
      <c r="A54" s="30" t="str">
        <f>A37</f>
        <v>Opex var (mode-fees, cargo handling)</v>
      </c>
      <c r="B54" s="62">
        <f>B$37*B$45</f>
        <v>1000.0000000000001</v>
      </c>
      <c r="C54" s="62">
        <f t="shared" ref="C54:AC54" si="29">C$37*C$45</f>
        <v>1000.0000000000001</v>
      </c>
      <c r="D54" s="62">
        <f t="shared" si="29"/>
        <v>1000.0000000000001</v>
      </c>
      <c r="E54" s="62">
        <f t="shared" si="29"/>
        <v>1000.0000000000001</v>
      </c>
      <c r="F54" s="62">
        <f t="shared" si="29"/>
        <v>1000.0000000000001</v>
      </c>
      <c r="G54" s="62">
        <f t="shared" si="29"/>
        <v>1000.0000000000001</v>
      </c>
      <c r="H54" s="62">
        <f t="shared" si="29"/>
        <v>1000.0000000000001</v>
      </c>
      <c r="I54" s="62">
        <f t="shared" si="29"/>
        <v>1000.0000000000001</v>
      </c>
      <c r="J54" s="62">
        <f t="shared" si="29"/>
        <v>1000.0000000000001</v>
      </c>
      <c r="K54" s="62">
        <f t="shared" si="29"/>
        <v>1000.0000000000001</v>
      </c>
      <c r="L54" s="62">
        <f t="shared" si="29"/>
        <v>1000.0000000000001</v>
      </c>
      <c r="M54" s="62">
        <f t="shared" si="29"/>
        <v>1000.0000000000001</v>
      </c>
      <c r="N54" s="62">
        <f t="shared" si="29"/>
        <v>1000.0000000000001</v>
      </c>
      <c r="O54" s="62">
        <f t="shared" si="29"/>
        <v>1000.0000000000001</v>
      </c>
      <c r="P54" s="62">
        <f t="shared" si="29"/>
        <v>1000.0000000000001</v>
      </c>
      <c r="Q54" s="62">
        <f t="shared" si="29"/>
        <v>1000.0000000000001</v>
      </c>
      <c r="R54" s="62">
        <f t="shared" si="29"/>
        <v>1000.0000000000001</v>
      </c>
      <c r="S54" s="62">
        <f t="shared" si="29"/>
        <v>1000.0000000000001</v>
      </c>
      <c r="T54" s="62">
        <f t="shared" si="29"/>
        <v>1000.0000000000001</v>
      </c>
      <c r="U54" s="62">
        <f t="shared" si="29"/>
        <v>1000.0000000000001</v>
      </c>
      <c r="V54" s="62">
        <f t="shared" si="29"/>
        <v>1000.0000000000001</v>
      </c>
      <c r="W54" s="62">
        <f t="shared" si="29"/>
        <v>1000.0000000000001</v>
      </c>
      <c r="X54" s="62">
        <f t="shared" si="29"/>
        <v>1000.0000000000001</v>
      </c>
      <c r="Y54" s="62">
        <f t="shared" si="29"/>
        <v>1000.0000000000001</v>
      </c>
      <c r="Z54" s="62">
        <f t="shared" si="29"/>
        <v>1000.0000000000001</v>
      </c>
      <c r="AA54" s="62">
        <f t="shared" si="29"/>
        <v>1000.0000000000001</v>
      </c>
      <c r="AB54" s="62">
        <f t="shared" si="29"/>
        <v>1000.0000000000001</v>
      </c>
      <c r="AC54" s="62">
        <f t="shared" si="29"/>
        <v>1000.0000000000001</v>
      </c>
    </row>
    <row r="55" spans="1:29" ht="15" thickBot="1" x14ac:dyDescent="0.4">
      <c r="A55" s="30" t="str">
        <f>A39</f>
        <v>Fuel Cost</v>
      </c>
      <c r="B55" s="62">
        <f>B$38*B$39*B$45</f>
        <v>44100</v>
      </c>
      <c r="C55" s="62">
        <f t="shared" ref="C55:AC55" si="30">C38*C39*C45</f>
        <v>44100</v>
      </c>
      <c r="D55" s="62">
        <f t="shared" si="30"/>
        <v>44100</v>
      </c>
      <c r="E55" s="62">
        <f t="shared" si="30"/>
        <v>44100</v>
      </c>
      <c r="F55" s="62">
        <f t="shared" si="30"/>
        <v>44100</v>
      </c>
      <c r="G55" s="62">
        <f t="shared" si="30"/>
        <v>44100</v>
      </c>
      <c r="H55" s="62">
        <f t="shared" si="30"/>
        <v>44100</v>
      </c>
      <c r="I55" s="62">
        <f t="shared" si="30"/>
        <v>44100</v>
      </c>
      <c r="J55" s="62">
        <f t="shared" si="30"/>
        <v>44100</v>
      </c>
      <c r="K55" s="62">
        <f t="shared" si="30"/>
        <v>44100</v>
      </c>
      <c r="L55" s="62">
        <f t="shared" si="30"/>
        <v>44100</v>
      </c>
      <c r="M55" s="62">
        <f t="shared" si="30"/>
        <v>44100</v>
      </c>
      <c r="N55" s="62">
        <f t="shared" si="30"/>
        <v>44100</v>
      </c>
      <c r="O55" s="62">
        <f t="shared" si="30"/>
        <v>44100</v>
      </c>
      <c r="P55" s="62">
        <f t="shared" si="30"/>
        <v>44100</v>
      </c>
      <c r="Q55" s="62">
        <f t="shared" si="30"/>
        <v>44100</v>
      </c>
      <c r="R55" s="62">
        <f t="shared" si="30"/>
        <v>44100</v>
      </c>
      <c r="S55" s="62">
        <f t="shared" si="30"/>
        <v>44100</v>
      </c>
      <c r="T55" s="62">
        <f t="shared" si="30"/>
        <v>44100</v>
      </c>
      <c r="U55" s="62">
        <f t="shared" si="30"/>
        <v>44100</v>
      </c>
      <c r="V55" s="62">
        <f t="shared" si="30"/>
        <v>44100</v>
      </c>
      <c r="W55" s="62">
        <f t="shared" si="30"/>
        <v>44100</v>
      </c>
      <c r="X55" s="62">
        <f t="shared" si="30"/>
        <v>44100</v>
      </c>
      <c r="Y55" s="62">
        <f t="shared" si="30"/>
        <v>44100</v>
      </c>
      <c r="Z55" s="62">
        <f t="shared" si="30"/>
        <v>44100</v>
      </c>
      <c r="AA55" s="62">
        <f t="shared" si="30"/>
        <v>44100</v>
      </c>
      <c r="AB55" s="62">
        <f t="shared" si="30"/>
        <v>44100</v>
      </c>
      <c r="AC55" s="62">
        <f t="shared" si="30"/>
        <v>44100</v>
      </c>
    </row>
    <row r="56" spans="1:29" ht="15" thickBot="1" x14ac:dyDescent="0.4">
      <c r="A56" s="31" t="s">
        <v>207</v>
      </c>
      <c r="B56" s="64">
        <f>B48+B49+B50+B51+B52+B53+B54+B55</f>
        <v>172085.21435231311</v>
      </c>
      <c r="C56" s="64">
        <f t="shared" ref="C56:AC56" si="31">C48+C49+C50+C51+C52+C53+C54+C55</f>
        <v>172085.21435231311</v>
      </c>
      <c r="D56" s="64">
        <f t="shared" si="31"/>
        <v>172085.21435231311</v>
      </c>
      <c r="E56" s="64">
        <f t="shared" si="31"/>
        <v>172085.21435231311</v>
      </c>
      <c r="F56" s="64">
        <f t="shared" si="31"/>
        <v>172085.21435231311</v>
      </c>
      <c r="G56" s="64">
        <f t="shared" si="31"/>
        <v>172085.21435231311</v>
      </c>
      <c r="H56" s="64">
        <f t="shared" si="31"/>
        <v>172085.21435231311</v>
      </c>
      <c r="I56" s="64">
        <f t="shared" si="31"/>
        <v>172085.21435231311</v>
      </c>
      <c r="J56" s="64">
        <f t="shared" si="31"/>
        <v>172085.21435231311</v>
      </c>
      <c r="K56" s="64">
        <f t="shared" si="31"/>
        <v>172085.21435231311</v>
      </c>
      <c r="L56" s="64">
        <f t="shared" si="31"/>
        <v>172085.21435231311</v>
      </c>
      <c r="M56" s="64">
        <f t="shared" si="31"/>
        <v>172085.21435231311</v>
      </c>
      <c r="N56" s="64">
        <f t="shared" si="31"/>
        <v>172085.21435231311</v>
      </c>
      <c r="O56" s="64">
        <f t="shared" si="31"/>
        <v>172085.21435231311</v>
      </c>
      <c r="P56" s="64">
        <f t="shared" si="31"/>
        <v>172085.21435231311</v>
      </c>
      <c r="Q56" s="64">
        <f t="shared" si="31"/>
        <v>172085.21435231311</v>
      </c>
      <c r="R56" s="64">
        <f t="shared" si="31"/>
        <v>172085.21435231311</v>
      </c>
      <c r="S56" s="64">
        <f t="shared" si="31"/>
        <v>172085.21435231311</v>
      </c>
      <c r="T56" s="64">
        <f t="shared" si="31"/>
        <v>172085.21435231311</v>
      </c>
      <c r="U56" s="64">
        <f t="shared" si="31"/>
        <v>172085.21435231311</v>
      </c>
      <c r="V56" s="64">
        <f t="shared" si="31"/>
        <v>172085.21435231311</v>
      </c>
      <c r="W56" s="64">
        <f t="shared" si="31"/>
        <v>172085.21435231311</v>
      </c>
      <c r="X56" s="64">
        <f t="shared" si="31"/>
        <v>172085.21435231311</v>
      </c>
      <c r="Y56" s="64">
        <f t="shared" si="31"/>
        <v>172085.21435231311</v>
      </c>
      <c r="Z56" s="64">
        <f t="shared" si="31"/>
        <v>172085.21435231311</v>
      </c>
      <c r="AA56" s="64">
        <f t="shared" si="31"/>
        <v>172085.21435231311</v>
      </c>
      <c r="AB56" s="64">
        <f t="shared" si="31"/>
        <v>172085.21435231311</v>
      </c>
      <c r="AC56" s="64">
        <f t="shared" si="31"/>
        <v>172085.21435231311</v>
      </c>
    </row>
    <row r="57" spans="1:29" ht="15" thickBot="1" x14ac:dyDescent="0.4">
      <c r="AC57" s="32"/>
    </row>
    <row r="58" spans="1:29" ht="15" thickBot="1" x14ac:dyDescent="0.4">
      <c r="A58" s="26" t="s">
        <v>206</v>
      </c>
      <c r="B58" s="27">
        <v>2023</v>
      </c>
      <c r="C58" s="27">
        <v>2024</v>
      </c>
      <c r="D58" s="27">
        <v>2025</v>
      </c>
      <c r="E58" s="27">
        <v>2026</v>
      </c>
      <c r="F58" s="27">
        <v>2027</v>
      </c>
      <c r="G58" s="27">
        <v>2028</v>
      </c>
      <c r="H58" s="27">
        <v>2029</v>
      </c>
      <c r="I58" s="27">
        <v>2030</v>
      </c>
      <c r="J58" s="27">
        <v>2031</v>
      </c>
      <c r="K58" s="27">
        <v>2032</v>
      </c>
      <c r="L58" s="27">
        <v>2033</v>
      </c>
      <c r="M58" s="27">
        <v>2034</v>
      </c>
      <c r="N58" s="27">
        <v>2035</v>
      </c>
      <c r="O58" s="27">
        <v>2036</v>
      </c>
      <c r="P58" s="27">
        <v>2037</v>
      </c>
      <c r="Q58" s="27">
        <v>2038</v>
      </c>
      <c r="R58" s="27">
        <v>2039</v>
      </c>
      <c r="S58" s="27">
        <v>2040</v>
      </c>
      <c r="T58" s="27">
        <v>2041</v>
      </c>
      <c r="U58" s="27">
        <v>2042</v>
      </c>
      <c r="V58" s="27">
        <v>2043</v>
      </c>
      <c r="W58" s="27">
        <v>2044</v>
      </c>
      <c r="X58" s="27">
        <v>2045</v>
      </c>
      <c r="Y58" s="27">
        <v>2046</v>
      </c>
      <c r="Z58" s="27">
        <v>2047</v>
      </c>
      <c r="AA58" s="27">
        <v>2048</v>
      </c>
      <c r="AB58" s="27">
        <v>2049</v>
      </c>
      <c r="AC58" s="28">
        <v>2050</v>
      </c>
    </row>
    <row r="59" spans="1:29" x14ac:dyDescent="0.35">
      <c r="A59" s="29" t="str">
        <f t="shared" ref="A59:A66" si="32">A48</f>
        <v>Capex vehicle</v>
      </c>
      <c r="B59" s="65">
        <f>((1+B$34)^B$40)*B$34/(((1+B$34)^B$40)-1)*(B$30)/B$45</f>
        <v>0.22609180993446606</v>
      </c>
      <c r="C59" s="65">
        <f t="shared" ref="C59:AC59" si="33">((1+C$34)^C$40)*C$34/(((1+C$34)^C$40)-1)*(C$30)/C$45</f>
        <v>0.22609180993446606</v>
      </c>
      <c r="D59" s="65">
        <f t="shared" si="33"/>
        <v>0.22609180993446606</v>
      </c>
      <c r="E59" s="65">
        <f t="shared" si="33"/>
        <v>0.22609180993446606</v>
      </c>
      <c r="F59" s="65">
        <f t="shared" si="33"/>
        <v>0.22609180993446606</v>
      </c>
      <c r="G59" s="65">
        <f t="shared" si="33"/>
        <v>0.22609180993446606</v>
      </c>
      <c r="H59" s="65">
        <f t="shared" si="33"/>
        <v>0.22609180993446606</v>
      </c>
      <c r="I59" s="65">
        <f t="shared" si="33"/>
        <v>0.22609180993446606</v>
      </c>
      <c r="J59" s="65">
        <f t="shared" si="33"/>
        <v>0.22609180993446606</v>
      </c>
      <c r="K59" s="65">
        <f t="shared" si="33"/>
        <v>0.22609180993446606</v>
      </c>
      <c r="L59" s="65">
        <f t="shared" si="33"/>
        <v>0.22609180993446606</v>
      </c>
      <c r="M59" s="65">
        <f t="shared" si="33"/>
        <v>0.22609180993446606</v>
      </c>
      <c r="N59" s="65">
        <f t="shared" si="33"/>
        <v>0.22609180993446606</v>
      </c>
      <c r="O59" s="65">
        <f t="shared" si="33"/>
        <v>0.22609180993446606</v>
      </c>
      <c r="P59" s="65">
        <f t="shared" si="33"/>
        <v>0.22609180993446606</v>
      </c>
      <c r="Q59" s="65">
        <f t="shared" si="33"/>
        <v>0.22609180993446606</v>
      </c>
      <c r="R59" s="65">
        <f t="shared" si="33"/>
        <v>0.22609180993446606</v>
      </c>
      <c r="S59" s="65">
        <f t="shared" si="33"/>
        <v>0.22609180993446606</v>
      </c>
      <c r="T59" s="65">
        <f t="shared" si="33"/>
        <v>0.22609180993446606</v>
      </c>
      <c r="U59" s="65">
        <f t="shared" si="33"/>
        <v>0.22609180993446606</v>
      </c>
      <c r="V59" s="65">
        <f t="shared" si="33"/>
        <v>0.22609180993446606</v>
      </c>
      <c r="W59" s="65">
        <f t="shared" si="33"/>
        <v>0.22609180993446606</v>
      </c>
      <c r="X59" s="65">
        <f t="shared" si="33"/>
        <v>0.22609180993446606</v>
      </c>
      <c r="Y59" s="65">
        <f t="shared" si="33"/>
        <v>0.22609180993446606</v>
      </c>
      <c r="Z59" s="65">
        <f t="shared" si="33"/>
        <v>0.22609180993446606</v>
      </c>
      <c r="AA59" s="65">
        <f t="shared" si="33"/>
        <v>0.22609180993446606</v>
      </c>
      <c r="AB59" s="65">
        <f t="shared" si="33"/>
        <v>0.22609180993446606</v>
      </c>
      <c r="AC59" s="65">
        <f t="shared" si="33"/>
        <v>0.22609180993446606</v>
      </c>
    </row>
    <row r="60" spans="1:29" x14ac:dyDescent="0.35">
      <c r="A60" s="30" t="str">
        <f t="shared" si="32"/>
        <v>Residual value (vehicle)</v>
      </c>
      <c r="B60" s="66">
        <f>((1+B$34)^B$40)*B$34/(((1+B$34)^B$40)-1)*(B$31)/B$45</f>
        <v>-6.7827542980339814E-2</v>
      </c>
      <c r="C60" s="66">
        <f t="shared" ref="C60:AC60" si="34">((1+C$34)^C$40)*C$34/(((1+C$34)^C$40)-1)*(C$31)/C$45</f>
        <v>-6.7827542980339814E-2</v>
      </c>
      <c r="D60" s="66">
        <f t="shared" si="34"/>
        <v>-6.7827542980339814E-2</v>
      </c>
      <c r="E60" s="66">
        <f t="shared" si="34"/>
        <v>-6.7827542980339814E-2</v>
      </c>
      <c r="F60" s="66">
        <f t="shared" si="34"/>
        <v>-6.7827542980339814E-2</v>
      </c>
      <c r="G60" s="66">
        <f t="shared" si="34"/>
        <v>-6.7827542980339814E-2</v>
      </c>
      <c r="H60" s="66">
        <f t="shared" si="34"/>
        <v>-6.7827542980339814E-2</v>
      </c>
      <c r="I60" s="66">
        <f t="shared" si="34"/>
        <v>-6.7827542980339814E-2</v>
      </c>
      <c r="J60" s="66">
        <f t="shared" si="34"/>
        <v>-6.7827542980339814E-2</v>
      </c>
      <c r="K60" s="66">
        <f t="shared" si="34"/>
        <v>-6.7827542980339814E-2</v>
      </c>
      <c r="L60" s="66">
        <f t="shared" si="34"/>
        <v>-6.7827542980339814E-2</v>
      </c>
      <c r="M60" s="66">
        <f t="shared" si="34"/>
        <v>-6.7827542980339814E-2</v>
      </c>
      <c r="N60" s="66">
        <f t="shared" si="34"/>
        <v>-6.7827542980339814E-2</v>
      </c>
      <c r="O60" s="66">
        <f t="shared" si="34"/>
        <v>-6.7827542980339814E-2</v>
      </c>
      <c r="P60" s="66">
        <f t="shared" si="34"/>
        <v>-6.7827542980339814E-2</v>
      </c>
      <c r="Q60" s="66">
        <f t="shared" si="34"/>
        <v>-6.7827542980339814E-2</v>
      </c>
      <c r="R60" s="66">
        <f t="shared" si="34"/>
        <v>-6.7827542980339814E-2</v>
      </c>
      <c r="S60" s="66">
        <f t="shared" si="34"/>
        <v>-6.7827542980339814E-2</v>
      </c>
      <c r="T60" s="66">
        <f t="shared" si="34"/>
        <v>-6.7827542980339814E-2</v>
      </c>
      <c r="U60" s="66">
        <f t="shared" si="34"/>
        <v>-6.7827542980339814E-2</v>
      </c>
      <c r="V60" s="66">
        <f t="shared" si="34"/>
        <v>-6.7827542980339814E-2</v>
      </c>
      <c r="W60" s="66">
        <f t="shared" si="34"/>
        <v>-6.7827542980339814E-2</v>
      </c>
      <c r="X60" s="66">
        <f t="shared" si="34"/>
        <v>-6.7827542980339814E-2</v>
      </c>
      <c r="Y60" s="66">
        <f t="shared" si="34"/>
        <v>-6.7827542980339814E-2</v>
      </c>
      <c r="Z60" s="66">
        <f t="shared" si="34"/>
        <v>-6.7827542980339814E-2</v>
      </c>
      <c r="AA60" s="66">
        <f t="shared" si="34"/>
        <v>-6.7827542980339814E-2</v>
      </c>
      <c r="AB60" s="66">
        <f t="shared" si="34"/>
        <v>-6.7827542980339814E-2</v>
      </c>
      <c r="AC60" s="66">
        <f t="shared" si="34"/>
        <v>-6.7827542980339814E-2</v>
      </c>
    </row>
    <row r="61" spans="1:29" x14ac:dyDescent="0.35">
      <c r="A61" s="30" t="str">
        <f t="shared" si="32"/>
        <v>Capex costumization</v>
      </c>
      <c r="B61" s="66">
        <f>((1+B$34)^B$41)*B$34/(((1+B$34)^B$41)-1)*(B$32)/B$45</f>
        <v>5.6798585419363598E-2</v>
      </c>
      <c r="C61" s="66">
        <f t="shared" ref="C61:AC61" si="35">((1+C$34)^C$41)*C$34/(((1+C$34)^C$41)-1)*(C$32)/C$45</f>
        <v>5.6798585419363598E-2</v>
      </c>
      <c r="D61" s="66">
        <f t="shared" si="35"/>
        <v>5.6798585419363598E-2</v>
      </c>
      <c r="E61" s="66">
        <f t="shared" si="35"/>
        <v>5.6798585419363598E-2</v>
      </c>
      <c r="F61" s="66">
        <f t="shared" si="35"/>
        <v>5.6798585419363598E-2</v>
      </c>
      <c r="G61" s="66">
        <f t="shared" si="35"/>
        <v>5.6798585419363598E-2</v>
      </c>
      <c r="H61" s="66">
        <f t="shared" si="35"/>
        <v>5.6798585419363598E-2</v>
      </c>
      <c r="I61" s="66">
        <f t="shared" si="35"/>
        <v>5.6798585419363598E-2</v>
      </c>
      <c r="J61" s="66">
        <f t="shared" si="35"/>
        <v>5.6798585419363598E-2</v>
      </c>
      <c r="K61" s="66">
        <f t="shared" si="35"/>
        <v>5.6798585419363598E-2</v>
      </c>
      <c r="L61" s="66">
        <f t="shared" si="35"/>
        <v>5.6798585419363598E-2</v>
      </c>
      <c r="M61" s="66">
        <f t="shared" si="35"/>
        <v>5.6798585419363598E-2</v>
      </c>
      <c r="N61" s="66">
        <f t="shared" si="35"/>
        <v>5.6798585419363598E-2</v>
      </c>
      <c r="O61" s="66">
        <f t="shared" si="35"/>
        <v>5.6798585419363598E-2</v>
      </c>
      <c r="P61" s="66">
        <f t="shared" si="35"/>
        <v>5.6798585419363598E-2</v>
      </c>
      <c r="Q61" s="66">
        <f t="shared" si="35"/>
        <v>5.6798585419363598E-2</v>
      </c>
      <c r="R61" s="66">
        <f t="shared" si="35"/>
        <v>5.6798585419363598E-2</v>
      </c>
      <c r="S61" s="66">
        <f t="shared" si="35"/>
        <v>5.6798585419363598E-2</v>
      </c>
      <c r="T61" s="66">
        <f t="shared" si="35"/>
        <v>5.6798585419363598E-2</v>
      </c>
      <c r="U61" s="66">
        <f t="shared" si="35"/>
        <v>5.6798585419363598E-2</v>
      </c>
      <c r="V61" s="66">
        <f t="shared" si="35"/>
        <v>5.6798585419363598E-2</v>
      </c>
      <c r="W61" s="66">
        <f t="shared" si="35"/>
        <v>5.6798585419363598E-2</v>
      </c>
      <c r="X61" s="66">
        <f t="shared" si="35"/>
        <v>5.6798585419363598E-2</v>
      </c>
      <c r="Y61" s="66">
        <f t="shared" si="35"/>
        <v>5.6798585419363598E-2</v>
      </c>
      <c r="Z61" s="66">
        <f t="shared" si="35"/>
        <v>5.6798585419363598E-2</v>
      </c>
      <c r="AA61" s="66">
        <f t="shared" si="35"/>
        <v>5.6798585419363598E-2</v>
      </c>
      <c r="AB61" s="66">
        <f t="shared" si="35"/>
        <v>5.6798585419363598E-2</v>
      </c>
      <c r="AC61" s="66">
        <f t="shared" si="35"/>
        <v>5.6798585419363598E-2</v>
      </c>
    </row>
    <row r="62" spans="1:29" x14ac:dyDescent="0.35">
      <c r="A62" s="30" t="str">
        <f t="shared" si="32"/>
        <v>Residual value (costumization)</v>
      </c>
      <c r="B62" s="66">
        <f>((1+B$34)^B$41)*B$34/(((1+B$34)^B$41)-1)*(B$33)/B$45</f>
        <v>-5.6798585419363589E-3</v>
      </c>
      <c r="C62" s="66">
        <f t="shared" ref="C62:AC62" si="36">((1+C$34)^C$41)*C$34/(((1+C$34)^C$41)-1)*(C$33)/C$45</f>
        <v>-5.6798585419363589E-3</v>
      </c>
      <c r="D62" s="66">
        <f t="shared" si="36"/>
        <v>-5.6798585419363589E-3</v>
      </c>
      <c r="E62" s="66">
        <f t="shared" si="36"/>
        <v>-5.6798585419363589E-3</v>
      </c>
      <c r="F62" s="66">
        <f t="shared" si="36"/>
        <v>-5.6798585419363589E-3</v>
      </c>
      <c r="G62" s="66">
        <f t="shared" si="36"/>
        <v>-5.6798585419363589E-3</v>
      </c>
      <c r="H62" s="66">
        <f t="shared" si="36"/>
        <v>-5.6798585419363589E-3</v>
      </c>
      <c r="I62" s="66">
        <f t="shared" si="36"/>
        <v>-5.6798585419363589E-3</v>
      </c>
      <c r="J62" s="66">
        <f t="shared" si="36"/>
        <v>-5.6798585419363589E-3</v>
      </c>
      <c r="K62" s="66">
        <f t="shared" si="36"/>
        <v>-5.6798585419363589E-3</v>
      </c>
      <c r="L62" s="66">
        <f t="shared" si="36"/>
        <v>-5.6798585419363589E-3</v>
      </c>
      <c r="M62" s="66">
        <f t="shared" si="36"/>
        <v>-5.6798585419363589E-3</v>
      </c>
      <c r="N62" s="66">
        <f t="shared" si="36"/>
        <v>-5.6798585419363589E-3</v>
      </c>
      <c r="O62" s="66">
        <f t="shared" si="36"/>
        <v>-5.6798585419363589E-3</v>
      </c>
      <c r="P62" s="66">
        <f t="shared" si="36"/>
        <v>-5.6798585419363589E-3</v>
      </c>
      <c r="Q62" s="66">
        <f t="shared" si="36"/>
        <v>-5.6798585419363589E-3</v>
      </c>
      <c r="R62" s="66">
        <f t="shared" si="36"/>
        <v>-5.6798585419363589E-3</v>
      </c>
      <c r="S62" s="66">
        <f t="shared" si="36"/>
        <v>-5.6798585419363589E-3</v>
      </c>
      <c r="T62" s="66">
        <f t="shared" si="36"/>
        <v>-5.6798585419363589E-3</v>
      </c>
      <c r="U62" s="66">
        <f t="shared" si="36"/>
        <v>-5.6798585419363589E-3</v>
      </c>
      <c r="V62" s="66">
        <f t="shared" si="36"/>
        <v>-5.6798585419363589E-3</v>
      </c>
      <c r="W62" s="66">
        <f t="shared" si="36"/>
        <v>-5.6798585419363589E-3</v>
      </c>
      <c r="X62" s="66">
        <f t="shared" si="36"/>
        <v>-5.6798585419363589E-3</v>
      </c>
      <c r="Y62" s="66">
        <f t="shared" si="36"/>
        <v>-5.6798585419363589E-3</v>
      </c>
      <c r="Z62" s="66">
        <f t="shared" si="36"/>
        <v>-5.6798585419363589E-3</v>
      </c>
      <c r="AA62" s="66">
        <f t="shared" si="36"/>
        <v>-5.6798585419363589E-3</v>
      </c>
      <c r="AB62" s="66">
        <f t="shared" si="36"/>
        <v>-5.6798585419363589E-3</v>
      </c>
      <c r="AC62" s="66">
        <f t="shared" si="36"/>
        <v>-5.6798585419363589E-3</v>
      </c>
    </row>
    <row r="63" spans="1:29" x14ac:dyDescent="0.35">
      <c r="A63" s="30" t="str">
        <f t="shared" si="32"/>
        <v>Opex fix (admin, crew, insurance)</v>
      </c>
      <c r="B63" s="66">
        <f>B$35/B$45</f>
        <v>0.80952380952380953</v>
      </c>
      <c r="C63" s="66">
        <f t="shared" ref="C63:AC63" si="37">C$35/C$45</f>
        <v>0.80952380952380953</v>
      </c>
      <c r="D63" s="66">
        <f t="shared" si="37"/>
        <v>0.80952380952380953</v>
      </c>
      <c r="E63" s="66">
        <f t="shared" si="37"/>
        <v>0.80952380952380953</v>
      </c>
      <c r="F63" s="66">
        <f t="shared" si="37"/>
        <v>0.80952380952380953</v>
      </c>
      <c r="G63" s="66">
        <f t="shared" si="37"/>
        <v>0.80952380952380953</v>
      </c>
      <c r="H63" s="66">
        <f t="shared" si="37"/>
        <v>0.80952380952380953</v>
      </c>
      <c r="I63" s="66">
        <f t="shared" si="37"/>
        <v>0.80952380952380953</v>
      </c>
      <c r="J63" s="66">
        <f t="shared" si="37"/>
        <v>0.80952380952380953</v>
      </c>
      <c r="K63" s="66">
        <f t="shared" si="37"/>
        <v>0.80952380952380953</v>
      </c>
      <c r="L63" s="66">
        <f t="shared" si="37"/>
        <v>0.80952380952380953</v>
      </c>
      <c r="M63" s="66">
        <f t="shared" si="37"/>
        <v>0.80952380952380953</v>
      </c>
      <c r="N63" s="66">
        <f t="shared" si="37"/>
        <v>0.80952380952380953</v>
      </c>
      <c r="O63" s="66">
        <f t="shared" si="37"/>
        <v>0.80952380952380953</v>
      </c>
      <c r="P63" s="66">
        <f t="shared" si="37"/>
        <v>0.80952380952380953</v>
      </c>
      <c r="Q63" s="66">
        <f t="shared" si="37"/>
        <v>0.80952380952380953</v>
      </c>
      <c r="R63" s="66">
        <f t="shared" si="37"/>
        <v>0.80952380952380953</v>
      </c>
      <c r="S63" s="66">
        <f t="shared" si="37"/>
        <v>0.80952380952380953</v>
      </c>
      <c r="T63" s="66">
        <f t="shared" si="37"/>
        <v>0.80952380952380953</v>
      </c>
      <c r="U63" s="66">
        <f t="shared" si="37"/>
        <v>0.80952380952380953</v>
      </c>
      <c r="V63" s="66">
        <f t="shared" si="37"/>
        <v>0.80952380952380953</v>
      </c>
      <c r="W63" s="66">
        <f t="shared" si="37"/>
        <v>0.80952380952380953</v>
      </c>
      <c r="X63" s="66">
        <f t="shared" si="37"/>
        <v>0.80952380952380953</v>
      </c>
      <c r="Y63" s="66">
        <f t="shared" si="37"/>
        <v>0.80952380952380953</v>
      </c>
      <c r="Z63" s="66">
        <f t="shared" si="37"/>
        <v>0.80952380952380953</v>
      </c>
      <c r="AA63" s="66">
        <f t="shared" si="37"/>
        <v>0.80952380952380953</v>
      </c>
      <c r="AB63" s="66">
        <f t="shared" si="37"/>
        <v>0.80952380952380953</v>
      </c>
      <c r="AC63" s="66">
        <f t="shared" si="37"/>
        <v>0.80952380952380953</v>
      </c>
    </row>
    <row r="64" spans="1:29" x14ac:dyDescent="0.35">
      <c r="A64" s="30" t="str">
        <f t="shared" si="32"/>
        <v>Opex maintenance &amp; repair</v>
      </c>
      <c r="B64" s="66">
        <f>B$36/B$45</f>
        <v>0.19047619047619047</v>
      </c>
      <c r="C64" s="66">
        <f t="shared" ref="C64:AC64" si="38">C$36/C$45</f>
        <v>0.19047619047619047</v>
      </c>
      <c r="D64" s="66">
        <f t="shared" si="38"/>
        <v>0.19047619047619047</v>
      </c>
      <c r="E64" s="66">
        <f t="shared" si="38"/>
        <v>0.19047619047619047</v>
      </c>
      <c r="F64" s="66">
        <f t="shared" si="38"/>
        <v>0.19047619047619047</v>
      </c>
      <c r="G64" s="66">
        <f t="shared" si="38"/>
        <v>0.19047619047619047</v>
      </c>
      <c r="H64" s="66">
        <f t="shared" si="38"/>
        <v>0.19047619047619047</v>
      </c>
      <c r="I64" s="66">
        <f t="shared" si="38"/>
        <v>0.19047619047619047</v>
      </c>
      <c r="J64" s="66">
        <f t="shared" si="38"/>
        <v>0.19047619047619047</v>
      </c>
      <c r="K64" s="66">
        <f t="shared" si="38"/>
        <v>0.19047619047619047</v>
      </c>
      <c r="L64" s="66">
        <f t="shared" si="38"/>
        <v>0.19047619047619047</v>
      </c>
      <c r="M64" s="66">
        <f t="shared" si="38"/>
        <v>0.19047619047619047</v>
      </c>
      <c r="N64" s="66">
        <f t="shared" si="38"/>
        <v>0.19047619047619047</v>
      </c>
      <c r="O64" s="66">
        <f t="shared" si="38"/>
        <v>0.19047619047619047</v>
      </c>
      <c r="P64" s="66">
        <f t="shared" si="38"/>
        <v>0.19047619047619047</v>
      </c>
      <c r="Q64" s="66">
        <f t="shared" si="38"/>
        <v>0.19047619047619047</v>
      </c>
      <c r="R64" s="66">
        <f t="shared" si="38"/>
        <v>0.19047619047619047</v>
      </c>
      <c r="S64" s="66">
        <f t="shared" si="38"/>
        <v>0.19047619047619047</v>
      </c>
      <c r="T64" s="66">
        <f t="shared" si="38"/>
        <v>0.19047619047619047</v>
      </c>
      <c r="U64" s="66">
        <f t="shared" si="38"/>
        <v>0.19047619047619047</v>
      </c>
      <c r="V64" s="66">
        <f t="shared" si="38"/>
        <v>0.19047619047619047</v>
      </c>
      <c r="W64" s="66">
        <f t="shared" si="38"/>
        <v>0.19047619047619047</v>
      </c>
      <c r="X64" s="66">
        <f t="shared" si="38"/>
        <v>0.19047619047619047</v>
      </c>
      <c r="Y64" s="66">
        <f t="shared" si="38"/>
        <v>0.19047619047619047</v>
      </c>
      <c r="Z64" s="66">
        <f t="shared" si="38"/>
        <v>0.19047619047619047</v>
      </c>
      <c r="AA64" s="66">
        <f t="shared" si="38"/>
        <v>0.19047619047619047</v>
      </c>
      <c r="AB64" s="66">
        <f t="shared" si="38"/>
        <v>0.19047619047619047</v>
      </c>
      <c r="AC64" s="66">
        <f t="shared" si="38"/>
        <v>0.19047619047619047</v>
      </c>
    </row>
    <row r="65" spans="1:29" x14ac:dyDescent="0.35">
      <c r="A65" s="30" t="str">
        <f t="shared" si="32"/>
        <v>Opex var (mode-fees, cargo handling)</v>
      </c>
      <c r="B65" s="66">
        <f>B$37*B$45/B$45</f>
        <v>9.5238095238095247E-3</v>
      </c>
      <c r="C65" s="66">
        <f t="shared" ref="C65:AC65" si="39">C$37*C$45/C$45</f>
        <v>9.5238095238095247E-3</v>
      </c>
      <c r="D65" s="66">
        <f t="shared" si="39"/>
        <v>9.5238095238095247E-3</v>
      </c>
      <c r="E65" s="66">
        <f t="shared" si="39"/>
        <v>9.5238095238095247E-3</v>
      </c>
      <c r="F65" s="66">
        <f t="shared" si="39"/>
        <v>9.5238095238095247E-3</v>
      </c>
      <c r="G65" s="66">
        <f t="shared" si="39"/>
        <v>9.5238095238095247E-3</v>
      </c>
      <c r="H65" s="66">
        <f t="shared" si="39"/>
        <v>9.5238095238095247E-3</v>
      </c>
      <c r="I65" s="66">
        <f t="shared" si="39"/>
        <v>9.5238095238095247E-3</v>
      </c>
      <c r="J65" s="66">
        <f t="shared" si="39"/>
        <v>9.5238095238095247E-3</v>
      </c>
      <c r="K65" s="66">
        <f t="shared" si="39"/>
        <v>9.5238095238095247E-3</v>
      </c>
      <c r="L65" s="66">
        <f t="shared" si="39"/>
        <v>9.5238095238095247E-3</v>
      </c>
      <c r="M65" s="66">
        <f t="shared" si="39"/>
        <v>9.5238095238095247E-3</v>
      </c>
      <c r="N65" s="66">
        <f t="shared" si="39"/>
        <v>9.5238095238095247E-3</v>
      </c>
      <c r="O65" s="66">
        <f t="shared" si="39"/>
        <v>9.5238095238095247E-3</v>
      </c>
      <c r="P65" s="66">
        <f t="shared" si="39"/>
        <v>9.5238095238095247E-3</v>
      </c>
      <c r="Q65" s="66">
        <f t="shared" si="39"/>
        <v>9.5238095238095247E-3</v>
      </c>
      <c r="R65" s="66">
        <f t="shared" si="39"/>
        <v>9.5238095238095247E-3</v>
      </c>
      <c r="S65" s="66">
        <f t="shared" si="39"/>
        <v>9.5238095238095247E-3</v>
      </c>
      <c r="T65" s="66">
        <f t="shared" si="39"/>
        <v>9.5238095238095247E-3</v>
      </c>
      <c r="U65" s="66">
        <f t="shared" si="39"/>
        <v>9.5238095238095247E-3</v>
      </c>
      <c r="V65" s="66">
        <f t="shared" si="39"/>
        <v>9.5238095238095247E-3</v>
      </c>
      <c r="W65" s="66">
        <f t="shared" si="39"/>
        <v>9.5238095238095247E-3</v>
      </c>
      <c r="X65" s="66">
        <f t="shared" si="39"/>
        <v>9.5238095238095247E-3</v>
      </c>
      <c r="Y65" s="66">
        <f t="shared" si="39"/>
        <v>9.5238095238095247E-3</v>
      </c>
      <c r="Z65" s="66">
        <f t="shared" si="39"/>
        <v>9.5238095238095247E-3</v>
      </c>
      <c r="AA65" s="66">
        <f t="shared" si="39"/>
        <v>9.5238095238095247E-3</v>
      </c>
      <c r="AB65" s="66">
        <f t="shared" si="39"/>
        <v>9.5238095238095247E-3</v>
      </c>
      <c r="AC65" s="66">
        <f t="shared" si="39"/>
        <v>9.5238095238095247E-3</v>
      </c>
    </row>
    <row r="66" spans="1:29" ht="15" thickBot="1" x14ac:dyDescent="0.4">
      <c r="A66" s="30" t="str">
        <f t="shared" si="32"/>
        <v>Fuel Cost</v>
      </c>
      <c r="B66" s="66">
        <f>B$38*B$39*B$45/B$45</f>
        <v>0.42</v>
      </c>
      <c r="C66" s="66">
        <f t="shared" ref="C66:AC66" si="40">C$38*C$39*C$45/C$45</f>
        <v>0.42</v>
      </c>
      <c r="D66" s="66">
        <f t="shared" si="40"/>
        <v>0.42</v>
      </c>
      <c r="E66" s="66">
        <f t="shared" si="40"/>
        <v>0.42</v>
      </c>
      <c r="F66" s="66">
        <f t="shared" si="40"/>
        <v>0.42</v>
      </c>
      <c r="G66" s="66">
        <f t="shared" si="40"/>
        <v>0.42</v>
      </c>
      <c r="H66" s="66">
        <f t="shared" si="40"/>
        <v>0.42</v>
      </c>
      <c r="I66" s="66">
        <f t="shared" si="40"/>
        <v>0.42</v>
      </c>
      <c r="J66" s="66">
        <f t="shared" si="40"/>
        <v>0.42</v>
      </c>
      <c r="K66" s="66">
        <f t="shared" si="40"/>
        <v>0.42</v>
      </c>
      <c r="L66" s="66">
        <f t="shared" si="40"/>
        <v>0.42</v>
      </c>
      <c r="M66" s="66">
        <f t="shared" si="40"/>
        <v>0.42</v>
      </c>
      <c r="N66" s="66">
        <f t="shared" si="40"/>
        <v>0.42</v>
      </c>
      <c r="O66" s="66">
        <f t="shared" si="40"/>
        <v>0.42</v>
      </c>
      <c r="P66" s="66">
        <f t="shared" si="40"/>
        <v>0.42</v>
      </c>
      <c r="Q66" s="66">
        <f t="shared" si="40"/>
        <v>0.42</v>
      </c>
      <c r="R66" s="66">
        <f t="shared" si="40"/>
        <v>0.42</v>
      </c>
      <c r="S66" s="66">
        <f t="shared" si="40"/>
        <v>0.42</v>
      </c>
      <c r="T66" s="66">
        <f t="shared" si="40"/>
        <v>0.42</v>
      </c>
      <c r="U66" s="66">
        <f t="shared" si="40"/>
        <v>0.42</v>
      </c>
      <c r="V66" s="66">
        <f t="shared" si="40"/>
        <v>0.42</v>
      </c>
      <c r="W66" s="66">
        <f t="shared" si="40"/>
        <v>0.42</v>
      </c>
      <c r="X66" s="66">
        <f t="shared" si="40"/>
        <v>0.42</v>
      </c>
      <c r="Y66" s="66">
        <f t="shared" si="40"/>
        <v>0.42</v>
      </c>
      <c r="Z66" s="66">
        <f t="shared" si="40"/>
        <v>0.42</v>
      </c>
      <c r="AA66" s="66">
        <f t="shared" si="40"/>
        <v>0.42</v>
      </c>
      <c r="AB66" s="66">
        <f t="shared" si="40"/>
        <v>0.42</v>
      </c>
      <c r="AC66" s="66">
        <f t="shared" si="40"/>
        <v>0.42</v>
      </c>
    </row>
    <row r="67" spans="1:29" ht="15" thickBot="1" x14ac:dyDescent="0.4">
      <c r="A67" s="31" t="s">
        <v>63</v>
      </c>
      <c r="B67" s="67">
        <f>B59+B60+B61-B62+B63+B64+B65+B66</f>
        <v>1.6502665204392357</v>
      </c>
      <c r="C67" s="67">
        <f t="shared" ref="C67:AC67" si="41">C59+C60+C61-C62+C63+C64+C65+C66</f>
        <v>1.6502665204392357</v>
      </c>
      <c r="D67" s="67">
        <f t="shared" si="41"/>
        <v>1.6502665204392357</v>
      </c>
      <c r="E67" s="67">
        <f t="shared" si="41"/>
        <v>1.6502665204392357</v>
      </c>
      <c r="F67" s="67">
        <f t="shared" si="41"/>
        <v>1.6502665204392357</v>
      </c>
      <c r="G67" s="67">
        <f t="shared" si="41"/>
        <v>1.6502665204392357</v>
      </c>
      <c r="H67" s="67">
        <f t="shared" si="41"/>
        <v>1.6502665204392357</v>
      </c>
      <c r="I67" s="67">
        <f t="shared" si="41"/>
        <v>1.6502665204392357</v>
      </c>
      <c r="J67" s="67">
        <f t="shared" si="41"/>
        <v>1.6502665204392357</v>
      </c>
      <c r="K67" s="67">
        <f t="shared" si="41"/>
        <v>1.6502665204392357</v>
      </c>
      <c r="L67" s="67">
        <f t="shared" si="41"/>
        <v>1.6502665204392357</v>
      </c>
      <c r="M67" s="67">
        <f t="shared" si="41"/>
        <v>1.6502665204392357</v>
      </c>
      <c r="N67" s="67">
        <f t="shared" si="41"/>
        <v>1.6502665204392357</v>
      </c>
      <c r="O67" s="67">
        <f t="shared" si="41"/>
        <v>1.6502665204392357</v>
      </c>
      <c r="P67" s="67">
        <f t="shared" si="41"/>
        <v>1.6502665204392357</v>
      </c>
      <c r="Q67" s="67">
        <f t="shared" si="41"/>
        <v>1.6502665204392357</v>
      </c>
      <c r="R67" s="67">
        <f t="shared" si="41"/>
        <v>1.6502665204392357</v>
      </c>
      <c r="S67" s="67">
        <f t="shared" si="41"/>
        <v>1.6502665204392357</v>
      </c>
      <c r="T67" s="67">
        <f t="shared" si="41"/>
        <v>1.6502665204392357</v>
      </c>
      <c r="U67" s="67">
        <f t="shared" si="41"/>
        <v>1.6502665204392357</v>
      </c>
      <c r="V67" s="67">
        <f t="shared" si="41"/>
        <v>1.6502665204392357</v>
      </c>
      <c r="W67" s="67">
        <f t="shared" si="41"/>
        <v>1.6502665204392357</v>
      </c>
      <c r="X67" s="67">
        <f t="shared" si="41"/>
        <v>1.6502665204392357</v>
      </c>
      <c r="Y67" s="67">
        <f t="shared" si="41"/>
        <v>1.6502665204392357</v>
      </c>
      <c r="Z67" s="67">
        <f t="shared" si="41"/>
        <v>1.6502665204392357</v>
      </c>
      <c r="AA67" s="67">
        <f t="shared" si="41"/>
        <v>1.6502665204392357</v>
      </c>
      <c r="AB67" s="67">
        <f t="shared" si="41"/>
        <v>1.6502665204392357</v>
      </c>
      <c r="AC67" s="67">
        <f t="shared" si="41"/>
        <v>1.6502665204392357</v>
      </c>
    </row>
    <row r="68" spans="1:29" ht="15" thickBot="1" x14ac:dyDescent="0.4"/>
    <row r="69" spans="1:29" ht="15" thickBot="1" x14ac:dyDescent="0.4">
      <c r="A69" s="26" t="s">
        <v>206</v>
      </c>
      <c r="B69" s="27">
        <v>2023</v>
      </c>
      <c r="C69" s="27">
        <v>2024</v>
      </c>
      <c r="D69" s="27">
        <v>2025</v>
      </c>
      <c r="E69" s="27">
        <v>2026</v>
      </c>
      <c r="F69" s="27">
        <v>2027</v>
      </c>
      <c r="G69" s="27">
        <v>2028</v>
      </c>
      <c r="H69" s="27">
        <v>2029</v>
      </c>
      <c r="I69" s="27">
        <v>2030</v>
      </c>
      <c r="J69" s="27">
        <v>2031</v>
      </c>
      <c r="K69" s="27">
        <v>2032</v>
      </c>
      <c r="L69" s="27">
        <v>2033</v>
      </c>
      <c r="M69" s="27">
        <v>2034</v>
      </c>
      <c r="N69" s="27">
        <v>2035</v>
      </c>
      <c r="O69" s="27">
        <v>2036</v>
      </c>
      <c r="P69" s="27">
        <v>2037</v>
      </c>
      <c r="Q69" s="27">
        <v>2038</v>
      </c>
      <c r="R69" s="27">
        <v>2039</v>
      </c>
      <c r="S69" s="27">
        <v>2040</v>
      </c>
      <c r="T69" s="27">
        <v>2041</v>
      </c>
      <c r="U69" s="27">
        <v>2042</v>
      </c>
      <c r="V69" s="27">
        <v>2043</v>
      </c>
      <c r="W69" s="27">
        <v>2044</v>
      </c>
      <c r="X69" s="27">
        <v>2045</v>
      </c>
      <c r="Y69" s="27">
        <v>2046</v>
      </c>
      <c r="Z69" s="27">
        <v>2047</v>
      </c>
      <c r="AA69" s="27">
        <v>2048</v>
      </c>
      <c r="AB69" s="27">
        <v>2049</v>
      </c>
      <c r="AC69" s="28">
        <v>2050</v>
      </c>
    </row>
    <row r="70" spans="1:29" x14ac:dyDescent="0.35">
      <c r="A70" s="29" t="str">
        <f t="shared" ref="A70:A77" si="42">A48</f>
        <v>Capex vehicle</v>
      </c>
      <c r="B70" s="65">
        <f>((1+B$34)^B$40)*B$34/(((1+B$34)^B$40)-1)*(B$30)/B$45/(B$42)</f>
        <v>7.7962693080850364E-3</v>
      </c>
      <c r="C70" s="65">
        <f t="shared" ref="C70:AC70" si="43">((1+C$34)^C$40)*C$34/(((1+C$34)^C$40)-1)*(C$30)/C$45/(C$42)</f>
        <v>7.7962693080850364E-3</v>
      </c>
      <c r="D70" s="65">
        <f t="shared" si="43"/>
        <v>7.7962693080850364E-3</v>
      </c>
      <c r="E70" s="65">
        <f t="shared" si="43"/>
        <v>7.7962693080850364E-3</v>
      </c>
      <c r="F70" s="65">
        <f t="shared" si="43"/>
        <v>7.7962693080850364E-3</v>
      </c>
      <c r="G70" s="65">
        <f t="shared" si="43"/>
        <v>7.7962693080850364E-3</v>
      </c>
      <c r="H70" s="65">
        <f t="shared" si="43"/>
        <v>7.7962693080850364E-3</v>
      </c>
      <c r="I70" s="65">
        <f t="shared" si="43"/>
        <v>7.7962693080850364E-3</v>
      </c>
      <c r="J70" s="65">
        <f t="shared" si="43"/>
        <v>7.7962693080850364E-3</v>
      </c>
      <c r="K70" s="65">
        <f t="shared" si="43"/>
        <v>7.7962693080850364E-3</v>
      </c>
      <c r="L70" s="65">
        <f t="shared" si="43"/>
        <v>7.7962693080850364E-3</v>
      </c>
      <c r="M70" s="65">
        <f t="shared" si="43"/>
        <v>7.7962693080850364E-3</v>
      </c>
      <c r="N70" s="65">
        <f t="shared" si="43"/>
        <v>7.7962693080850364E-3</v>
      </c>
      <c r="O70" s="65">
        <f t="shared" si="43"/>
        <v>7.7962693080850364E-3</v>
      </c>
      <c r="P70" s="65">
        <f t="shared" si="43"/>
        <v>7.7962693080850364E-3</v>
      </c>
      <c r="Q70" s="65">
        <f t="shared" si="43"/>
        <v>7.7962693080850364E-3</v>
      </c>
      <c r="R70" s="65">
        <f t="shared" si="43"/>
        <v>7.7962693080850364E-3</v>
      </c>
      <c r="S70" s="65">
        <f t="shared" si="43"/>
        <v>7.7962693080850364E-3</v>
      </c>
      <c r="T70" s="65">
        <f t="shared" si="43"/>
        <v>7.7962693080850364E-3</v>
      </c>
      <c r="U70" s="65">
        <f t="shared" si="43"/>
        <v>7.7962693080850364E-3</v>
      </c>
      <c r="V70" s="65">
        <f t="shared" si="43"/>
        <v>7.7962693080850364E-3</v>
      </c>
      <c r="W70" s="65">
        <f t="shared" si="43"/>
        <v>7.7962693080850364E-3</v>
      </c>
      <c r="X70" s="65">
        <f t="shared" si="43"/>
        <v>7.7962693080850364E-3</v>
      </c>
      <c r="Y70" s="65">
        <f t="shared" si="43"/>
        <v>7.7962693080850364E-3</v>
      </c>
      <c r="Z70" s="65">
        <f t="shared" si="43"/>
        <v>7.7962693080850364E-3</v>
      </c>
      <c r="AA70" s="65">
        <f t="shared" si="43"/>
        <v>7.7962693080850364E-3</v>
      </c>
      <c r="AB70" s="65">
        <f t="shared" si="43"/>
        <v>7.7962693080850364E-3</v>
      </c>
      <c r="AC70" s="65">
        <f t="shared" si="43"/>
        <v>7.7962693080850364E-3</v>
      </c>
    </row>
    <row r="71" spans="1:29" x14ac:dyDescent="0.35">
      <c r="A71" s="30" t="str">
        <f t="shared" si="42"/>
        <v>Residual value (vehicle)</v>
      </c>
      <c r="B71" s="68">
        <f>((1+B$34)^B$40)*B$34/(((1+B$34)^B$40)-1)*(B$31)/B$45/(B$42)</f>
        <v>-2.3388807924255108E-3</v>
      </c>
      <c r="C71" s="66">
        <f t="shared" ref="C71:AC71" si="44">((1+C$34)^C$40)*C$34/(((1+C$34)^C$40)-1)*(C$31)/C$45/(C$42)</f>
        <v>-2.3388807924255108E-3</v>
      </c>
      <c r="D71" s="66">
        <f t="shared" si="44"/>
        <v>-2.3388807924255108E-3</v>
      </c>
      <c r="E71" s="66">
        <f t="shared" si="44"/>
        <v>-2.3388807924255108E-3</v>
      </c>
      <c r="F71" s="66">
        <f t="shared" si="44"/>
        <v>-2.3388807924255108E-3</v>
      </c>
      <c r="G71" s="66">
        <f t="shared" si="44"/>
        <v>-2.3388807924255108E-3</v>
      </c>
      <c r="H71" s="66">
        <f t="shared" si="44"/>
        <v>-2.3388807924255108E-3</v>
      </c>
      <c r="I71" s="66">
        <f t="shared" si="44"/>
        <v>-2.3388807924255108E-3</v>
      </c>
      <c r="J71" s="66">
        <f t="shared" si="44"/>
        <v>-2.3388807924255108E-3</v>
      </c>
      <c r="K71" s="66">
        <f t="shared" si="44"/>
        <v>-2.3388807924255108E-3</v>
      </c>
      <c r="L71" s="66">
        <f t="shared" si="44"/>
        <v>-2.3388807924255108E-3</v>
      </c>
      <c r="M71" s="66">
        <f t="shared" si="44"/>
        <v>-2.3388807924255108E-3</v>
      </c>
      <c r="N71" s="66">
        <f t="shared" si="44"/>
        <v>-2.3388807924255108E-3</v>
      </c>
      <c r="O71" s="66">
        <f t="shared" si="44"/>
        <v>-2.3388807924255108E-3</v>
      </c>
      <c r="P71" s="66">
        <f t="shared" si="44"/>
        <v>-2.3388807924255108E-3</v>
      </c>
      <c r="Q71" s="66">
        <f t="shared" si="44"/>
        <v>-2.3388807924255108E-3</v>
      </c>
      <c r="R71" s="66">
        <f t="shared" si="44"/>
        <v>-2.3388807924255108E-3</v>
      </c>
      <c r="S71" s="66">
        <f t="shared" si="44"/>
        <v>-2.3388807924255108E-3</v>
      </c>
      <c r="T71" s="66">
        <f t="shared" si="44"/>
        <v>-2.3388807924255108E-3</v>
      </c>
      <c r="U71" s="66">
        <f t="shared" si="44"/>
        <v>-2.3388807924255108E-3</v>
      </c>
      <c r="V71" s="66">
        <f t="shared" si="44"/>
        <v>-2.3388807924255108E-3</v>
      </c>
      <c r="W71" s="66">
        <f t="shared" si="44"/>
        <v>-2.3388807924255108E-3</v>
      </c>
      <c r="X71" s="66">
        <f t="shared" si="44"/>
        <v>-2.3388807924255108E-3</v>
      </c>
      <c r="Y71" s="66">
        <f t="shared" si="44"/>
        <v>-2.3388807924255108E-3</v>
      </c>
      <c r="Z71" s="66">
        <f t="shared" si="44"/>
        <v>-2.3388807924255108E-3</v>
      </c>
      <c r="AA71" s="66">
        <f t="shared" si="44"/>
        <v>-2.3388807924255108E-3</v>
      </c>
      <c r="AB71" s="66">
        <f t="shared" si="44"/>
        <v>-2.3388807924255108E-3</v>
      </c>
      <c r="AC71" s="66">
        <f t="shared" si="44"/>
        <v>-2.3388807924255108E-3</v>
      </c>
    </row>
    <row r="72" spans="1:29" x14ac:dyDescent="0.35">
      <c r="A72" s="30" t="str">
        <f t="shared" si="42"/>
        <v>Capex costumization</v>
      </c>
      <c r="B72" s="66">
        <f>((1+B$34)^B$41)*B$34/(((1+B$34)^B$41)-1)*(B$32)/B$45/(B$42)</f>
        <v>1.9585719110125381E-3</v>
      </c>
      <c r="C72" s="66">
        <f t="shared" ref="C72:AC72" si="45">((1+C$34)^C$41)*C$34/(((1+C$34)^C$41)-1)*(C$32)/C$45/(C$42)</f>
        <v>1.9585719110125381E-3</v>
      </c>
      <c r="D72" s="66">
        <f t="shared" si="45"/>
        <v>1.9585719110125381E-3</v>
      </c>
      <c r="E72" s="66">
        <f t="shared" si="45"/>
        <v>1.9585719110125381E-3</v>
      </c>
      <c r="F72" s="66">
        <f t="shared" si="45"/>
        <v>1.9585719110125381E-3</v>
      </c>
      <c r="G72" s="66">
        <f t="shared" si="45"/>
        <v>1.9585719110125381E-3</v>
      </c>
      <c r="H72" s="66">
        <f t="shared" si="45"/>
        <v>1.9585719110125381E-3</v>
      </c>
      <c r="I72" s="66">
        <f t="shared" si="45"/>
        <v>1.9585719110125381E-3</v>
      </c>
      <c r="J72" s="66">
        <f t="shared" si="45"/>
        <v>1.9585719110125381E-3</v>
      </c>
      <c r="K72" s="66">
        <f t="shared" si="45"/>
        <v>1.9585719110125381E-3</v>
      </c>
      <c r="L72" s="66">
        <f t="shared" si="45"/>
        <v>1.9585719110125381E-3</v>
      </c>
      <c r="M72" s="66">
        <f t="shared" si="45"/>
        <v>1.9585719110125381E-3</v>
      </c>
      <c r="N72" s="66">
        <f t="shared" si="45"/>
        <v>1.9585719110125381E-3</v>
      </c>
      <c r="O72" s="66">
        <f t="shared" si="45"/>
        <v>1.9585719110125381E-3</v>
      </c>
      <c r="P72" s="66">
        <f t="shared" si="45"/>
        <v>1.9585719110125381E-3</v>
      </c>
      <c r="Q72" s="66">
        <f t="shared" si="45"/>
        <v>1.9585719110125381E-3</v>
      </c>
      <c r="R72" s="66">
        <f t="shared" si="45"/>
        <v>1.9585719110125381E-3</v>
      </c>
      <c r="S72" s="66">
        <f t="shared" si="45"/>
        <v>1.9585719110125381E-3</v>
      </c>
      <c r="T72" s="66">
        <f t="shared" si="45"/>
        <v>1.9585719110125381E-3</v>
      </c>
      <c r="U72" s="66">
        <f t="shared" si="45"/>
        <v>1.9585719110125381E-3</v>
      </c>
      <c r="V72" s="66">
        <f t="shared" si="45"/>
        <v>1.9585719110125381E-3</v>
      </c>
      <c r="W72" s="66">
        <f t="shared" si="45"/>
        <v>1.9585719110125381E-3</v>
      </c>
      <c r="X72" s="66">
        <f t="shared" si="45"/>
        <v>1.9585719110125381E-3</v>
      </c>
      <c r="Y72" s="66">
        <f t="shared" si="45"/>
        <v>1.9585719110125381E-3</v>
      </c>
      <c r="Z72" s="66">
        <f t="shared" si="45"/>
        <v>1.9585719110125381E-3</v>
      </c>
      <c r="AA72" s="66">
        <f t="shared" si="45"/>
        <v>1.9585719110125381E-3</v>
      </c>
      <c r="AB72" s="66">
        <f t="shared" si="45"/>
        <v>1.9585719110125381E-3</v>
      </c>
      <c r="AC72" s="66">
        <f t="shared" si="45"/>
        <v>1.9585719110125381E-3</v>
      </c>
    </row>
    <row r="73" spans="1:29" x14ac:dyDescent="0.35">
      <c r="A73" s="30" t="str">
        <f t="shared" si="42"/>
        <v>Residual value (costumization)</v>
      </c>
      <c r="B73" s="69">
        <f>((1+B$34)^B$41)*B$34/(((1+B$34)^B$41)-1)*(B$33)/B$45/(B$42)</f>
        <v>-1.9585719110125376E-4</v>
      </c>
      <c r="C73" s="66">
        <f t="shared" ref="C73:AC73" si="46">((1+C$34)^C$41)*C$34/(((1+C$34)^C$41)-1)*(C$33)/C$45/(C$42)</f>
        <v>-1.9585719110125376E-4</v>
      </c>
      <c r="D73" s="66">
        <f t="shared" si="46"/>
        <v>-1.9585719110125376E-4</v>
      </c>
      <c r="E73" s="66">
        <f t="shared" si="46"/>
        <v>-1.9585719110125376E-4</v>
      </c>
      <c r="F73" s="66">
        <f t="shared" si="46"/>
        <v>-1.9585719110125376E-4</v>
      </c>
      <c r="G73" s="66">
        <f t="shared" si="46"/>
        <v>-1.9585719110125376E-4</v>
      </c>
      <c r="H73" s="66">
        <f t="shared" si="46"/>
        <v>-1.9585719110125376E-4</v>
      </c>
      <c r="I73" s="66">
        <f t="shared" si="46"/>
        <v>-1.9585719110125376E-4</v>
      </c>
      <c r="J73" s="66">
        <f t="shared" si="46"/>
        <v>-1.9585719110125376E-4</v>
      </c>
      <c r="K73" s="66">
        <f t="shared" si="46"/>
        <v>-1.9585719110125376E-4</v>
      </c>
      <c r="L73" s="66">
        <f t="shared" si="46"/>
        <v>-1.9585719110125376E-4</v>
      </c>
      <c r="M73" s="66">
        <f t="shared" si="46"/>
        <v>-1.9585719110125376E-4</v>
      </c>
      <c r="N73" s="66">
        <f t="shared" si="46"/>
        <v>-1.9585719110125376E-4</v>
      </c>
      <c r="O73" s="66">
        <f t="shared" si="46"/>
        <v>-1.9585719110125376E-4</v>
      </c>
      <c r="P73" s="66">
        <f t="shared" si="46"/>
        <v>-1.9585719110125376E-4</v>
      </c>
      <c r="Q73" s="66">
        <f t="shared" si="46"/>
        <v>-1.9585719110125376E-4</v>
      </c>
      <c r="R73" s="66">
        <f t="shared" si="46"/>
        <v>-1.9585719110125376E-4</v>
      </c>
      <c r="S73" s="66">
        <f t="shared" si="46"/>
        <v>-1.9585719110125376E-4</v>
      </c>
      <c r="T73" s="66">
        <f t="shared" si="46"/>
        <v>-1.9585719110125376E-4</v>
      </c>
      <c r="U73" s="66">
        <f t="shared" si="46"/>
        <v>-1.9585719110125376E-4</v>
      </c>
      <c r="V73" s="66">
        <f t="shared" si="46"/>
        <v>-1.9585719110125376E-4</v>
      </c>
      <c r="W73" s="66">
        <f t="shared" si="46"/>
        <v>-1.9585719110125376E-4</v>
      </c>
      <c r="X73" s="66">
        <f t="shared" si="46"/>
        <v>-1.9585719110125376E-4</v>
      </c>
      <c r="Y73" s="66">
        <f t="shared" si="46"/>
        <v>-1.9585719110125376E-4</v>
      </c>
      <c r="Z73" s="66">
        <f t="shared" si="46"/>
        <v>-1.9585719110125376E-4</v>
      </c>
      <c r="AA73" s="66">
        <f t="shared" si="46"/>
        <v>-1.9585719110125376E-4</v>
      </c>
      <c r="AB73" s="66">
        <f t="shared" si="46"/>
        <v>-1.9585719110125376E-4</v>
      </c>
      <c r="AC73" s="66">
        <f t="shared" si="46"/>
        <v>-1.9585719110125376E-4</v>
      </c>
    </row>
    <row r="74" spans="1:29" x14ac:dyDescent="0.35">
      <c r="A74" s="30" t="str">
        <f t="shared" si="42"/>
        <v>Opex fix (admin, crew, insurance)</v>
      </c>
      <c r="B74" s="66">
        <f>B$35/B$45/(B$42)</f>
        <v>2.7914614121510674E-2</v>
      </c>
      <c r="C74" s="66">
        <f t="shared" ref="C74:AC74" si="47">C$35/C$45/(C$42)</f>
        <v>2.7914614121510674E-2</v>
      </c>
      <c r="D74" s="66">
        <f t="shared" si="47"/>
        <v>2.7914614121510674E-2</v>
      </c>
      <c r="E74" s="66">
        <f t="shared" si="47"/>
        <v>2.7914614121510674E-2</v>
      </c>
      <c r="F74" s="66">
        <f t="shared" si="47"/>
        <v>2.7914614121510674E-2</v>
      </c>
      <c r="G74" s="66">
        <f t="shared" si="47"/>
        <v>2.7914614121510674E-2</v>
      </c>
      <c r="H74" s="66">
        <f t="shared" si="47"/>
        <v>2.7914614121510674E-2</v>
      </c>
      <c r="I74" s="66">
        <f t="shared" si="47"/>
        <v>2.7914614121510674E-2</v>
      </c>
      <c r="J74" s="66">
        <f t="shared" si="47"/>
        <v>2.7914614121510674E-2</v>
      </c>
      <c r="K74" s="66">
        <f t="shared" si="47"/>
        <v>2.7914614121510674E-2</v>
      </c>
      <c r="L74" s="66">
        <f t="shared" si="47"/>
        <v>2.7914614121510674E-2</v>
      </c>
      <c r="M74" s="66">
        <f t="shared" si="47"/>
        <v>2.7914614121510674E-2</v>
      </c>
      <c r="N74" s="66">
        <f t="shared" si="47"/>
        <v>2.7914614121510674E-2</v>
      </c>
      <c r="O74" s="66">
        <f t="shared" si="47"/>
        <v>2.7914614121510674E-2</v>
      </c>
      <c r="P74" s="66">
        <f t="shared" si="47"/>
        <v>2.7914614121510674E-2</v>
      </c>
      <c r="Q74" s="66">
        <f t="shared" si="47"/>
        <v>2.7914614121510674E-2</v>
      </c>
      <c r="R74" s="66">
        <f t="shared" si="47"/>
        <v>2.7914614121510674E-2</v>
      </c>
      <c r="S74" s="66">
        <f t="shared" si="47"/>
        <v>2.7914614121510674E-2</v>
      </c>
      <c r="T74" s="66">
        <f t="shared" si="47"/>
        <v>2.7914614121510674E-2</v>
      </c>
      <c r="U74" s="66">
        <f t="shared" si="47"/>
        <v>2.7914614121510674E-2</v>
      </c>
      <c r="V74" s="66">
        <f t="shared" si="47"/>
        <v>2.7914614121510674E-2</v>
      </c>
      <c r="W74" s="66">
        <f t="shared" si="47"/>
        <v>2.7914614121510674E-2</v>
      </c>
      <c r="X74" s="66">
        <f t="shared" si="47"/>
        <v>2.7914614121510674E-2</v>
      </c>
      <c r="Y74" s="66">
        <f t="shared" si="47"/>
        <v>2.7914614121510674E-2</v>
      </c>
      <c r="Z74" s="66">
        <f t="shared" si="47"/>
        <v>2.7914614121510674E-2</v>
      </c>
      <c r="AA74" s="66">
        <f t="shared" si="47"/>
        <v>2.7914614121510674E-2</v>
      </c>
      <c r="AB74" s="66">
        <f t="shared" si="47"/>
        <v>2.7914614121510674E-2</v>
      </c>
      <c r="AC74" s="66">
        <f t="shared" si="47"/>
        <v>2.7914614121510674E-2</v>
      </c>
    </row>
    <row r="75" spans="1:29" x14ac:dyDescent="0.35">
      <c r="A75" s="30" t="str">
        <f t="shared" si="42"/>
        <v>Opex maintenance &amp; repair</v>
      </c>
      <c r="B75" s="66">
        <f>B$36/B$45/(B$42)</f>
        <v>6.5681444991789817E-3</v>
      </c>
      <c r="C75" s="66">
        <f t="shared" ref="C75:AC75" si="48">C$36/C$45/(C$42)</f>
        <v>6.5681444991789817E-3</v>
      </c>
      <c r="D75" s="66">
        <f t="shared" si="48"/>
        <v>6.5681444991789817E-3</v>
      </c>
      <c r="E75" s="66">
        <f t="shared" si="48"/>
        <v>6.5681444991789817E-3</v>
      </c>
      <c r="F75" s="66">
        <f t="shared" si="48"/>
        <v>6.5681444991789817E-3</v>
      </c>
      <c r="G75" s="66">
        <f t="shared" si="48"/>
        <v>6.5681444991789817E-3</v>
      </c>
      <c r="H75" s="66">
        <f t="shared" si="48"/>
        <v>6.5681444991789817E-3</v>
      </c>
      <c r="I75" s="66">
        <f t="shared" si="48"/>
        <v>6.5681444991789817E-3</v>
      </c>
      <c r="J75" s="66">
        <f t="shared" si="48"/>
        <v>6.5681444991789817E-3</v>
      </c>
      <c r="K75" s="66">
        <f t="shared" si="48"/>
        <v>6.5681444991789817E-3</v>
      </c>
      <c r="L75" s="66">
        <f t="shared" si="48"/>
        <v>6.5681444991789817E-3</v>
      </c>
      <c r="M75" s="66">
        <f t="shared" si="48"/>
        <v>6.5681444991789817E-3</v>
      </c>
      <c r="N75" s="66">
        <f t="shared" si="48"/>
        <v>6.5681444991789817E-3</v>
      </c>
      <c r="O75" s="66">
        <f t="shared" si="48"/>
        <v>6.5681444991789817E-3</v>
      </c>
      <c r="P75" s="66">
        <f t="shared" si="48"/>
        <v>6.5681444991789817E-3</v>
      </c>
      <c r="Q75" s="66">
        <f t="shared" si="48"/>
        <v>6.5681444991789817E-3</v>
      </c>
      <c r="R75" s="66">
        <f t="shared" si="48"/>
        <v>6.5681444991789817E-3</v>
      </c>
      <c r="S75" s="66">
        <f t="shared" si="48"/>
        <v>6.5681444991789817E-3</v>
      </c>
      <c r="T75" s="66">
        <f t="shared" si="48"/>
        <v>6.5681444991789817E-3</v>
      </c>
      <c r="U75" s="66">
        <f t="shared" si="48"/>
        <v>6.5681444991789817E-3</v>
      </c>
      <c r="V75" s="66">
        <f t="shared" si="48"/>
        <v>6.5681444991789817E-3</v>
      </c>
      <c r="W75" s="66">
        <f t="shared" si="48"/>
        <v>6.5681444991789817E-3</v>
      </c>
      <c r="X75" s="66">
        <f t="shared" si="48"/>
        <v>6.5681444991789817E-3</v>
      </c>
      <c r="Y75" s="66">
        <f t="shared" si="48"/>
        <v>6.5681444991789817E-3</v>
      </c>
      <c r="Z75" s="66">
        <f t="shared" si="48"/>
        <v>6.5681444991789817E-3</v>
      </c>
      <c r="AA75" s="66">
        <f t="shared" si="48"/>
        <v>6.5681444991789817E-3</v>
      </c>
      <c r="AB75" s="66">
        <f t="shared" si="48"/>
        <v>6.5681444991789817E-3</v>
      </c>
      <c r="AC75" s="66">
        <f t="shared" si="48"/>
        <v>6.5681444991789817E-3</v>
      </c>
    </row>
    <row r="76" spans="1:29" x14ac:dyDescent="0.35">
      <c r="A76" s="30" t="str">
        <f t="shared" si="42"/>
        <v>Opex var (mode-fees, cargo handling)</v>
      </c>
      <c r="B76" s="66">
        <f>B$37*B$45/B$45/(B$42)</f>
        <v>3.2840722495894911E-4</v>
      </c>
      <c r="C76" s="66">
        <f t="shared" ref="C76:AC76" si="49">C$37*C$45/C$45/(C$42)</f>
        <v>3.2840722495894911E-4</v>
      </c>
      <c r="D76" s="66">
        <f t="shared" si="49"/>
        <v>3.2840722495894911E-4</v>
      </c>
      <c r="E76" s="66">
        <f t="shared" si="49"/>
        <v>3.2840722495894911E-4</v>
      </c>
      <c r="F76" s="66">
        <f t="shared" si="49"/>
        <v>3.2840722495894911E-4</v>
      </c>
      <c r="G76" s="66">
        <f t="shared" si="49"/>
        <v>3.2840722495894911E-4</v>
      </c>
      <c r="H76" s="66">
        <f t="shared" si="49"/>
        <v>3.2840722495894911E-4</v>
      </c>
      <c r="I76" s="66">
        <f t="shared" si="49"/>
        <v>3.2840722495894911E-4</v>
      </c>
      <c r="J76" s="66">
        <f t="shared" si="49"/>
        <v>3.2840722495894911E-4</v>
      </c>
      <c r="K76" s="66">
        <f t="shared" si="49"/>
        <v>3.2840722495894911E-4</v>
      </c>
      <c r="L76" s="66">
        <f t="shared" si="49"/>
        <v>3.2840722495894911E-4</v>
      </c>
      <c r="M76" s="66">
        <f t="shared" si="49"/>
        <v>3.2840722495894911E-4</v>
      </c>
      <c r="N76" s="66">
        <f t="shared" si="49"/>
        <v>3.2840722495894911E-4</v>
      </c>
      <c r="O76" s="66">
        <f t="shared" si="49"/>
        <v>3.2840722495894911E-4</v>
      </c>
      <c r="P76" s="66">
        <f t="shared" si="49"/>
        <v>3.2840722495894911E-4</v>
      </c>
      <c r="Q76" s="66">
        <f t="shared" si="49"/>
        <v>3.2840722495894911E-4</v>
      </c>
      <c r="R76" s="66">
        <f t="shared" si="49"/>
        <v>3.2840722495894911E-4</v>
      </c>
      <c r="S76" s="66">
        <f t="shared" si="49"/>
        <v>3.2840722495894911E-4</v>
      </c>
      <c r="T76" s="66">
        <f t="shared" si="49"/>
        <v>3.2840722495894911E-4</v>
      </c>
      <c r="U76" s="66">
        <f t="shared" si="49"/>
        <v>3.2840722495894911E-4</v>
      </c>
      <c r="V76" s="66">
        <f t="shared" si="49"/>
        <v>3.2840722495894911E-4</v>
      </c>
      <c r="W76" s="66">
        <f t="shared" si="49"/>
        <v>3.2840722495894911E-4</v>
      </c>
      <c r="X76" s="66">
        <f t="shared" si="49"/>
        <v>3.2840722495894911E-4</v>
      </c>
      <c r="Y76" s="66">
        <f t="shared" si="49"/>
        <v>3.2840722495894911E-4</v>
      </c>
      <c r="Z76" s="66">
        <f t="shared" si="49"/>
        <v>3.2840722495894911E-4</v>
      </c>
      <c r="AA76" s="66">
        <f t="shared" si="49"/>
        <v>3.2840722495894911E-4</v>
      </c>
      <c r="AB76" s="66">
        <f t="shared" si="49"/>
        <v>3.2840722495894911E-4</v>
      </c>
      <c r="AC76" s="66">
        <f t="shared" si="49"/>
        <v>3.2840722495894911E-4</v>
      </c>
    </row>
    <row r="77" spans="1:29" x14ac:dyDescent="0.35">
      <c r="A77" s="30" t="str">
        <f t="shared" si="42"/>
        <v>Fuel Cost</v>
      </c>
      <c r="B77" s="66">
        <f>B$38*B$39*B$45/B$45/(B$42)</f>
        <v>1.4482758620689654E-2</v>
      </c>
      <c r="C77" s="66">
        <f t="shared" ref="C77:AC77" si="50">C$38*C$39*C$45/C$45/(C$42)</f>
        <v>1.4482758620689654E-2</v>
      </c>
      <c r="D77" s="66">
        <f t="shared" si="50"/>
        <v>1.4482758620689654E-2</v>
      </c>
      <c r="E77" s="66">
        <f t="shared" si="50"/>
        <v>1.4482758620689654E-2</v>
      </c>
      <c r="F77" s="66">
        <f t="shared" si="50"/>
        <v>1.4482758620689654E-2</v>
      </c>
      <c r="G77" s="66">
        <f t="shared" si="50"/>
        <v>1.4482758620689654E-2</v>
      </c>
      <c r="H77" s="66">
        <f t="shared" si="50"/>
        <v>1.4482758620689654E-2</v>
      </c>
      <c r="I77" s="66">
        <f t="shared" si="50"/>
        <v>1.4482758620689654E-2</v>
      </c>
      <c r="J77" s="66">
        <f t="shared" si="50"/>
        <v>1.4482758620689654E-2</v>
      </c>
      <c r="K77" s="66">
        <f t="shared" si="50"/>
        <v>1.4482758620689654E-2</v>
      </c>
      <c r="L77" s="66">
        <f t="shared" si="50"/>
        <v>1.4482758620689654E-2</v>
      </c>
      <c r="M77" s="66">
        <f t="shared" si="50"/>
        <v>1.4482758620689654E-2</v>
      </c>
      <c r="N77" s="66">
        <f t="shared" si="50"/>
        <v>1.4482758620689654E-2</v>
      </c>
      <c r="O77" s="66">
        <f t="shared" si="50"/>
        <v>1.4482758620689654E-2</v>
      </c>
      <c r="P77" s="66">
        <f t="shared" si="50"/>
        <v>1.4482758620689654E-2</v>
      </c>
      <c r="Q77" s="66">
        <f t="shared" si="50"/>
        <v>1.4482758620689654E-2</v>
      </c>
      <c r="R77" s="66">
        <f t="shared" si="50"/>
        <v>1.4482758620689654E-2</v>
      </c>
      <c r="S77" s="66">
        <f t="shared" si="50"/>
        <v>1.4482758620689654E-2</v>
      </c>
      <c r="T77" s="66">
        <f t="shared" si="50"/>
        <v>1.4482758620689654E-2</v>
      </c>
      <c r="U77" s="66">
        <f t="shared" si="50"/>
        <v>1.4482758620689654E-2</v>
      </c>
      <c r="V77" s="66">
        <f t="shared" si="50"/>
        <v>1.4482758620689654E-2</v>
      </c>
      <c r="W77" s="66">
        <f t="shared" si="50"/>
        <v>1.4482758620689654E-2</v>
      </c>
      <c r="X77" s="66">
        <f t="shared" si="50"/>
        <v>1.4482758620689654E-2</v>
      </c>
      <c r="Y77" s="66">
        <f t="shared" si="50"/>
        <v>1.4482758620689654E-2</v>
      </c>
      <c r="Z77" s="66">
        <f t="shared" si="50"/>
        <v>1.4482758620689654E-2</v>
      </c>
      <c r="AA77" s="66">
        <f t="shared" si="50"/>
        <v>1.4482758620689654E-2</v>
      </c>
      <c r="AB77" s="66">
        <f t="shared" si="50"/>
        <v>1.4482758620689654E-2</v>
      </c>
      <c r="AC77" s="66">
        <f t="shared" si="50"/>
        <v>1.4482758620689654E-2</v>
      </c>
    </row>
    <row r="78" spans="1:29" x14ac:dyDescent="0.35">
      <c r="A78" s="59" t="str">
        <f>A43</f>
        <v>Market failure (av. utilization)</v>
      </c>
      <c r="B78" s="66">
        <f t="shared" ref="B78:AC78" si="51">B67/B43-B67/B42</f>
        <v>6.6802392881348371E-2</v>
      </c>
      <c r="C78" s="66">
        <f t="shared" si="51"/>
        <v>6.6802392881348371E-2</v>
      </c>
      <c r="D78" s="66">
        <f t="shared" si="51"/>
        <v>6.6802392881348371E-2</v>
      </c>
      <c r="E78" s="66">
        <f t="shared" si="51"/>
        <v>6.6802392881348371E-2</v>
      </c>
      <c r="F78" s="66">
        <f t="shared" si="51"/>
        <v>6.6802392881348371E-2</v>
      </c>
      <c r="G78" s="66">
        <f t="shared" si="51"/>
        <v>6.6802392881348371E-2</v>
      </c>
      <c r="H78" s="66">
        <f t="shared" si="51"/>
        <v>6.6802392881348371E-2</v>
      </c>
      <c r="I78" s="66">
        <f t="shared" si="51"/>
        <v>6.6802392881348371E-2</v>
      </c>
      <c r="J78" s="66">
        <f t="shared" si="51"/>
        <v>6.6802392881348371E-2</v>
      </c>
      <c r="K78" s="66">
        <f t="shared" si="51"/>
        <v>6.6802392881348371E-2</v>
      </c>
      <c r="L78" s="66">
        <f t="shared" si="51"/>
        <v>6.6802392881348371E-2</v>
      </c>
      <c r="M78" s="66">
        <f t="shared" si="51"/>
        <v>6.6802392881348371E-2</v>
      </c>
      <c r="N78" s="66">
        <f t="shared" si="51"/>
        <v>6.6802392881348371E-2</v>
      </c>
      <c r="O78" s="66">
        <f t="shared" si="51"/>
        <v>6.6802392881348371E-2</v>
      </c>
      <c r="P78" s="66">
        <f t="shared" si="51"/>
        <v>6.6802392881348371E-2</v>
      </c>
      <c r="Q78" s="66">
        <f t="shared" si="51"/>
        <v>6.6802392881348371E-2</v>
      </c>
      <c r="R78" s="66">
        <f t="shared" si="51"/>
        <v>6.6802392881348371E-2</v>
      </c>
      <c r="S78" s="66">
        <f t="shared" si="51"/>
        <v>6.6802392881348371E-2</v>
      </c>
      <c r="T78" s="66">
        <f t="shared" si="51"/>
        <v>6.6802392881348371E-2</v>
      </c>
      <c r="U78" s="66">
        <f t="shared" si="51"/>
        <v>6.6802392881348371E-2</v>
      </c>
      <c r="V78" s="66">
        <f t="shared" si="51"/>
        <v>6.6802392881348371E-2</v>
      </c>
      <c r="W78" s="66">
        <f t="shared" si="51"/>
        <v>6.6802392881348371E-2</v>
      </c>
      <c r="X78" s="66">
        <f t="shared" si="51"/>
        <v>6.6802392881348371E-2</v>
      </c>
      <c r="Y78" s="66">
        <f t="shared" si="51"/>
        <v>6.6802392881348371E-2</v>
      </c>
      <c r="Z78" s="66">
        <f t="shared" si="51"/>
        <v>6.6802392881348371E-2</v>
      </c>
      <c r="AA78" s="66">
        <f t="shared" si="51"/>
        <v>6.6802392881348371E-2</v>
      </c>
      <c r="AB78" s="66">
        <f t="shared" si="51"/>
        <v>6.6802392881348371E-2</v>
      </c>
      <c r="AC78" s="66">
        <f t="shared" si="51"/>
        <v>6.6802392881348371E-2</v>
      </c>
    </row>
    <row r="79" spans="1:29" ht="15" thickBot="1" x14ac:dyDescent="0.4">
      <c r="A79" s="59" t="str">
        <f>A44</f>
        <v>Payload loss (fuel)</v>
      </c>
      <c r="B79" s="66">
        <f t="shared" ref="B79:AC79" si="52">B67/(B43-B44)-B67/B43</f>
        <v>1.5086357922617075E-2</v>
      </c>
      <c r="C79" s="66">
        <f t="shared" si="52"/>
        <v>1.5086357922617075E-2</v>
      </c>
      <c r="D79" s="66">
        <f t="shared" si="52"/>
        <v>1.5086357922617075E-2</v>
      </c>
      <c r="E79" s="66">
        <f t="shared" si="52"/>
        <v>1.5086357922617075E-2</v>
      </c>
      <c r="F79" s="66">
        <f t="shared" si="52"/>
        <v>1.5086357922617075E-2</v>
      </c>
      <c r="G79" s="66">
        <f t="shared" si="52"/>
        <v>1.5086357922617075E-2</v>
      </c>
      <c r="H79" s="66">
        <f t="shared" si="52"/>
        <v>1.5086357922617075E-2</v>
      </c>
      <c r="I79" s="66">
        <f t="shared" si="52"/>
        <v>1.5086357922617075E-2</v>
      </c>
      <c r="J79" s="66">
        <f t="shared" si="52"/>
        <v>1.5086357922617075E-2</v>
      </c>
      <c r="K79" s="66">
        <f t="shared" si="52"/>
        <v>1.5086357922617075E-2</v>
      </c>
      <c r="L79" s="66">
        <f t="shared" si="52"/>
        <v>1.5086357922617075E-2</v>
      </c>
      <c r="M79" s="66">
        <f t="shared" si="52"/>
        <v>1.5086357922617075E-2</v>
      </c>
      <c r="N79" s="66">
        <f t="shared" si="52"/>
        <v>1.5086357922617075E-2</v>
      </c>
      <c r="O79" s="66">
        <f t="shared" si="52"/>
        <v>1.5086357922617075E-2</v>
      </c>
      <c r="P79" s="66">
        <f t="shared" si="52"/>
        <v>1.5086357922617075E-2</v>
      </c>
      <c r="Q79" s="66">
        <f t="shared" si="52"/>
        <v>1.5086357922617075E-2</v>
      </c>
      <c r="R79" s="66">
        <f t="shared" si="52"/>
        <v>1.5086357922617075E-2</v>
      </c>
      <c r="S79" s="66">
        <f t="shared" si="52"/>
        <v>1.5086357922617075E-2</v>
      </c>
      <c r="T79" s="66">
        <f t="shared" si="52"/>
        <v>1.5086357922617075E-2</v>
      </c>
      <c r="U79" s="66">
        <f t="shared" si="52"/>
        <v>1.5086357922617075E-2</v>
      </c>
      <c r="V79" s="66">
        <f t="shared" si="52"/>
        <v>1.5086357922617075E-2</v>
      </c>
      <c r="W79" s="66">
        <f t="shared" si="52"/>
        <v>1.5086357922617075E-2</v>
      </c>
      <c r="X79" s="66">
        <f t="shared" si="52"/>
        <v>1.5086357922617075E-2</v>
      </c>
      <c r="Y79" s="66">
        <f t="shared" si="52"/>
        <v>1.5086357922617075E-2</v>
      </c>
      <c r="Z79" s="66">
        <f t="shared" si="52"/>
        <v>1.5086357922617075E-2</v>
      </c>
      <c r="AA79" s="66">
        <f t="shared" si="52"/>
        <v>1.5086357922617075E-2</v>
      </c>
      <c r="AB79" s="66">
        <f t="shared" si="52"/>
        <v>1.5086357922617075E-2</v>
      </c>
      <c r="AC79" s="66">
        <f t="shared" si="52"/>
        <v>1.5086357922617075E-2</v>
      </c>
    </row>
    <row r="80" spans="1:29" ht="15" thickBot="1" x14ac:dyDescent="0.4">
      <c r="A80" s="31" t="s">
        <v>208</v>
      </c>
      <c r="B80" s="67">
        <f>B70+B71+B72+B73+B74+B75+B76+B77+B78+B79</f>
        <v>0.13840277850587451</v>
      </c>
      <c r="C80" s="67">
        <f t="shared" ref="C80:D80" si="53">C70+C71+C72+C73+C74+C75+C76+C77+C78+C79</f>
        <v>0.13840277850587451</v>
      </c>
      <c r="D80" s="67">
        <f t="shared" si="53"/>
        <v>0.13840277850587451</v>
      </c>
      <c r="E80" s="67">
        <f t="shared" ref="E80:AC80" si="54">E70+E71+E72-E73+E74+E75+E76+E77+E78+E79</f>
        <v>0.13879449288807702</v>
      </c>
      <c r="F80" s="67">
        <f t="shared" si="54"/>
        <v>0.13879449288807702</v>
      </c>
      <c r="G80" s="67">
        <f t="shared" si="54"/>
        <v>0.13879449288807702</v>
      </c>
      <c r="H80" s="67">
        <f t="shared" si="54"/>
        <v>0.13879449288807702</v>
      </c>
      <c r="I80" s="67">
        <f t="shared" si="54"/>
        <v>0.13879449288807702</v>
      </c>
      <c r="J80" s="67">
        <f t="shared" si="54"/>
        <v>0.13879449288807702</v>
      </c>
      <c r="K80" s="67">
        <f t="shared" si="54"/>
        <v>0.13879449288807702</v>
      </c>
      <c r="L80" s="67">
        <f t="shared" si="54"/>
        <v>0.13879449288807702</v>
      </c>
      <c r="M80" s="67">
        <f t="shared" si="54"/>
        <v>0.13879449288807702</v>
      </c>
      <c r="N80" s="67">
        <f t="shared" si="54"/>
        <v>0.13879449288807702</v>
      </c>
      <c r="O80" s="67">
        <f t="shared" si="54"/>
        <v>0.13879449288807702</v>
      </c>
      <c r="P80" s="67">
        <f t="shared" si="54"/>
        <v>0.13879449288807702</v>
      </c>
      <c r="Q80" s="67">
        <f t="shared" si="54"/>
        <v>0.13879449288807702</v>
      </c>
      <c r="R80" s="67">
        <f t="shared" si="54"/>
        <v>0.13879449288807702</v>
      </c>
      <c r="S80" s="67">
        <f t="shared" si="54"/>
        <v>0.13879449288807702</v>
      </c>
      <c r="T80" s="67">
        <f t="shared" si="54"/>
        <v>0.13879449288807702</v>
      </c>
      <c r="U80" s="67">
        <f t="shared" si="54"/>
        <v>0.13879449288807702</v>
      </c>
      <c r="V80" s="67">
        <f t="shared" si="54"/>
        <v>0.13879449288807702</v>
      </c>
      <c r="W80" s="67">
        <f t="shared" si="54"/>
        <v>0.13879449288807702</v>
      </c>
      <c r="X80" s="67">
        <f t="shared" si="54"/>
        <v>0.13879449288807702</v>
      </c>
      <c r="Y80" s="67">
        <f t="shared" si="54"/>
        <v>0.13879449288807702</v>
      </c>
      <c r="Z80" s="67">
        <f t="shared" si="54"/>
        <v>0.13879449288807702</v>
      </c>
      <c r="AA80" s="67">
        <f t="shared" si="54"/>
        <v>0.13879449288807702</v>
      </c>
      <c r="AB80" s="67">
        <f t="shared" si="54"/>
        <v>0.13879449288807702</v>
      </c>
      <c r="AC80" s="67">
        <f t="shared" si="54"/>
        <v>0.13879449288807702</v>
      </c>
    </row>
    <row r="82" spans="2:2" x14ac:dyDescent="0.35">
      <c r="B82" s="40"/>
    </row>
  </sheetData>
  <conditionalFormatting sqref="Q11:AR26">
    <cfRule type="colorScale" priority="1">
      <colorScale>
        <cfvo type="min"/>
        <cfvo type="max"/>
        <color rgb="FFFF7128"/>
        <color rgb="FFFFEF9C"/>
      </colorScale>
    </cfRule>
    <cfRule type="colorScale" priority="10">
      <colorScale>
        <cfvo type="min"/>
        <cfvo type="percentile" val="50"/>
        <cfvo type="max"/>
        <color rgb="FFF8696B"/>
        <color rgb="FFFFEB84"/>
        <color rgb="FF63BE7B"/>
      </colorScale>
    </cfRule>
    <cfRule type="colorScale" priority="11">
      <colorScale>
        <cfvo type="min"/>
        <cfvo type="percentile" val="50"/>
        <cfvo type="max"/>
        <color theme="5" tint="-0.249977111117893"/>
        <color theme="7" tint="0.79998168889431442"/>
        <color theme="7" tint="0.39997558519241921"/>
      </colorScale>
    </cfRule>
    <cfRule type="colorScale" priority="12">
      <colorScale>
        <cfvo type="min"/>
        <cfvo type="percentile" val="50"/>
        <cfvo type="max"/>
        <color rgb="FFF8696B"/>
        <color rgb="FFFFEB84"/>
        <color rgb="FF63BE7B"/>
      </colorScale>
    </cfRule>
    <cfRule type="colorScale" priority="13">
      <colorScale>
        <cfvo type="min"/>
        <cfvo type="max"/>
        <color rgb="FFFF7128"/>
        <color rgb="FFFFEF9C"/>
      </colorScale>
    </cfRule>
  </conditionalFormatting>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5DB58C8134B304E8722528DF46508C9" ma:contentTypeVersion="17" ma:contentTypeDescription="Create a new document." ma:contentTypeScope="" ma:versionID="10c9ea4b582f0eb0d34e8ba70fbb42b4">
  <xsd:schema xmlns:xsd="http://www.w3.org/2001/XMLSchema" xmlns:xs="http://www.w3.org/2001/XMLSchema" xmlns:p="http://schemas.microsoft.com/office/2006/metadata/properties" xmlns:ns3="1d2ad661-40b4-4211-810e-9f8311f21e61" xmlns:ns4="e3bebc04-41cd-4c9b-8948-0bf19cce4780" targetNamespace="http://schemas.microsoft.com/office/2006/metadata/properties" ma:root="true" ma:fieldsID="83eaf3ff065b0683f59096ddb0a0e8f5" ns3:_="" ns4:_="">
    <xsd:import namespace="1d2ad661-40b4-4211-810e-9f8311f21e61"/>
    <xsd:import namespace="e3bebc04-41cd-4c9b-8948-0bf19cce4780"/>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element ref="ns3:MediaLengthInSeconds"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2ad661-40b4-4211-810e-9f8311f21e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Location" ma:index="12" nillable="true" ma:displayName="MediaServiceLocation" ma:internalName="MediaServiceLocation"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3bebc04-41cd-4c9b-8948-0bf19cce4780"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1d2ad661-40b4-4211-810e-9f8311f21e61" xsi:nil="true"/>
  </documentManagement>
</p:properties>
</file>

<file path=customXml/itemProps1.xml><?xml version="1.0" encoding="utf-8"?>
<ds:datastoreItem xmlns:ds="http://schemas.openxmlformats.org/officeDocument/2006/customXml" ds:itemID="{B7A531EF-0C1E-4EEC-A313-34223C5CC6F7}">
  <ds:schemaRefs>
    <ds:schemaRef ds:uri="http://schemas.microsoft.com/sharepoint/v3/contenttype/forms"/>
  </ds:schemaRefs>
</ds:datastoreItem>
</file>

<file path=customXml/itemProps2.xml><?xml version="1.0" encoding="utf-8"?>
<ds:datastoreItem xmlns:ds="http://schemas.openxmlformats.org/officeDocument/2006/customXml" ds:itemID="{EFB9341E-2DB1-4393-A0C9-D7D1DCEB38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2ad661-40b4-4211-810e-9f8311f21e61"/>
    <ds:schemaRef ds:uri="e3bebc04-41cd-4c9b-8948-0bf19cce47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B386C5-F0F8-49F0-A26B-B7A25C6BCF28}">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e3bebc04-41cd-4c9b-8948-0bf19cce4780"/>
    <ds:schemaRef ds:uri="1d2ad661-40b4-4211-810e-9f8311f21e61"/>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Legend</vt:lpstr>
      <vt:lpstr>Transfer costs</vt:lpstr>
      <vt:lpstr>Parameter Input</vt:lpstr>
      <vt:lpstr>Output emissions</vt:lpstr>
      <vt:lpstr>Output fuel scenarios</vt:lpstr>
      <vt:lpstr>FIGURES</vt:lpstr>
      <vt:lpstr>Output costs</vt:lpstr>
      <vt:lpstr>Comments Ruben (temp)</vt:lpstr>
      <vt:lpstr>Template_Cost_Calculator</vt:lpstr>
    </vt:vector>
  </TitlesOfParts>
  <Manager/>
  <Company>NTNU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Jonas Martin</dc:creator>
  <cp:keywords/>
  <dc:description/>
  <cp:lastModifiedBy>Celine Victoria Pagnier</cp:lastModifiedBy>
  <cp:revision/>
  <dcterms:created xsi:type="dcterms:W3CDTF">2023-05-11T14:18:46Z</dcterms:created>
  <dcterms:modified xsi:type="dcterms:W3CDTF">2024-11-03T20:46:21Z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0x01010085DB58C8134B304E8722528DF46508C9</vt:lpwstr>
  </property>
  <property fmtid="{D5CDD505-2E9C-101B-9397-08002B2CF9AE}" pid="3" name="MSIP_Label_8772ba27-cab8-4042-a351-a31f6e4eacdc_Enabled">
    <vt:lpwstr>true</vt:lpwstr>
  </property>
  <property fmtid="{D5CDD505-2E9C-101B-9397-08002B2CF9AE}" pid="4" name="MSIP_Label_8772ba27-cab8-4042-a351-a31f6e4eacdc_SetDate">
    <vt:lpwstr>2023-09-29T12:10:49Z</vt:lpwstr>
  </property>
  <property fmtid="{D5CDD505-2E9C-101B-9397-08002B2CF9AE}" pid="5" name="MSIP_Label_8772ba27-cab8-4042-a351-a31f6e4eacdc_Method">
    <vt:lpwstr>Standard</vt:lpwstr>
  </property>
  <property fmtid="{D5CDD505-2E9C-101B-9397-08002B2CF9AE}" pid="6" name="MSIP_Label_8772ba27-cab8-4042-a351-a31f6e4eacdc_Name">
    <vt:lpwstr>Internal</vt:lpwstr>
  </property>
  <property fmtid="{D5CDD505-2E9C-101B-9397-08002B2CF9AE}" pid="7" name="MSIP_Label_8772ba27-cab8-4042-a351-a31f6e4eacdc_SiteId">
    <vt:lpwstr>715902d6-f63e-4b8d-929b-4bb170bad492</vt:lpwstr>
  </property>
  <property fmtid="{D5CDD505-2E9C-101B-9397-08002B2CF9AE}" pid="8" name="MSIP_Label_8772ba27-cab8-4042-a351-a31f6e4eacdc_ActionId">
    <vt:lpwstr>92d43e29-5919-4f94-a135-6d6685b413ff</vt:lpwstr>
  </property>
  <property fmtid="{D5CDD505-2E9C-101B-9397-08002B2CF9AE}" pid="9" name="MSIP_Label_8772ba27-cab8-4042-a351-a31f6e4eacdc_ContentBits">
    <vt:lpwstr>0</vt:lpwstr>
  </property>
</Properties>
</file>