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xcel\Excel-function-and-formulas-tutorial\"/>
    </mc:Choice>
  </mc:AlternateContent>
  <xr:revisionPtr revIDLastSave="0" documentId="13_ncr:1_{FA33B053-B4B7-470C-98F0-42B3941F36CE}" xr6:coauthVersionLast="47" xr6:coauthVersionMax="47" xr10:uidLastSave="{00000000-0000-0000-0000-000000000000}"/>
  <bookViews>
    <workbookView xWindow="-108" yWindow="-108" windowWidth="23256" windowHeight="12456" activeTab="2" xr2:uid="{26D4546B-D2A1-4444-8EAF-A6228F96F0C1}"/>
  </bookViews>
  <sheets>
    <sheet name="Concepts" sheetId="2" r:id="rId1"/>
    <sheet name="Data" sheetId="1" r:id="rId2"/>
    <sheet name="Sheet1" sheetId="3" r:id="rId3"/>
  </sheets>
  <definedNames>
    <definedName name="_xlnm._FilterDatabase" localSheetId="2" hidden="1">Sheet1!$A$17:$N$17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5" i="3" l="1"/>
  <c r="H246" i="3"/>
  <c r="H247" i="3"/>
  <c r="H248" i="3"/>
  <c r="H249" i="3"/>
  <c r="H250" i="3"/>
  <c r="H251" i="3"/>
  <c r="H252" i="3"/>
  <c r="H253" i="3"/>
  <c r="H254" i="3"/>
  <c r="H255" i="3"/>
  <c r="H244" i="3"/>
  <c r="A244" i="3" a="1"/>
  <c r="A244" i="3" s="1"/>
  <c r="C244" i="3" s="1" a="1"/>
  <c r="C244" i="3" s="1"/>
  <c r="E244" i="3" s="1" a="1"/>
  <c r="E244" i="3" s="1"/>
  <c r="G247" i="3" a="1"/>
  <c r="G247" i="3" s="1"/>
  <c r="G252" i="3" a="1"/>
  <c r="G252" i="3" s="1"/>
  <c r="F241" i="3"/>
  <c r="C241" i="3"/>
  <c r="B241" i="3"/>
  <c r="G176" i="3" a="1"/>
  <c r="G176" i="3" s="1"/>
  <c r="G168" i="3" a="1"/>
  <c r="G168" i="3" s="1"/>
  <c r="B168" i="3" a="1"/>
  <c r="B168" i="3" s="1"/>
  <c r="B162" i="3" a="1"/>
  <c r="B162" i="3" s="1"/>
  <c r="B159" i="3" a="1"/>
  <c r="B159" i="3" s="1"/>
  <c r="B157" i="3" a="1"/>
  <c r="B157" i="3" s="1"/>
  <c r="A152" i="3" a="1"/>
  <c r="A152" i="3" s="1"/>
  <c r="H139" i="3" a="1"/>
  <c r="H139" i="3" s="1"/>
  <c r="H138" i="3" a="1"/>
  <c r="H138" i="3" s="1"/>
  <c r="F141" i="3"/>
  <c r="F140" i="3"/>
  <c r="F139" i="3"/>
  <c r="F142" i="3"/>
  <c r="D130" i="3"/>
  <c r="B138" i="3"/>
  <c r="B141" i="3" s="1" a="1"/>
  <c r="B141" i="3" s="1"/>
  <c r="B131" i="3"/>
  <c r="B132" i="3"/>
  <c r="B133" i="3"/>
  <c r="B130" i="3"/>
  <c r="A114" i="3" a="1"/>
  <c r="A114" i="3" s="1"/>
  <c r="C113" i="3" s="1"/>
  <c r="D100" i="3" a="1"/>
  <c r="D100" i="3" s="1"/>
  <c r="D101" i="3" a="1"/>
  <c r="D101" i="3" s="1"/>
  <c r="D102" i="3" a="1"/>
  <c r="D102" i="3" s="1"/>
  <c r="D99" i="3" a="1"/>
  <c r="D99" i="3" s="1"/>
  <c r="D98" i="3" a="1"/>
  <c r="D98" i="3" s="1"/>
  <c r="C99" i="3" a="1"/>
  <c r="C99" i="3" s="1"/>
  <c r="C100" i="3" a="1"/>
  <c r="C100" i="3" s="1"/>
  <c r="C101" i="3" a="1"/>
  <c r="C101" i="3" s="1"/>
  <c r="C102" i="3" a="1"/>
  <c r="C102" i="3" s="1"/>
  <c r="C98" i="3" a="1"/>
  <c r="C98" i="3" s="1"/>
  <c r="D97" i="3"/>
  <c r="C97" i="3"/>
  <c r="D96" i="3"/>
  <c r="C96" i="3"/>
  <c r="B105" i="3" a="1"/>
  <c r="B105" i="3" s="1"/>
  <c r="B99" i="3"/>
  <c r="B100" i="3"/>
  <c r="B101" i="3"/>
  <c r="B102" i="3"/>
  <c r="B98" i="3"/>
  <c r="B97" i="3"/>
  <c r="B96" i="3"/>
  <c r="A86" i="3" a="1"/>
  <c r="A86" i="3" s="1"/>
  <c r="A87" i="3" a="1"/>
  <c r="A87" i="3" s="1"/>
  <c r="A80" i="3" a="1"/>
  <c r="A80" i="3" s="1"/>
  <c r="A79" i="3" a="1"/>
  <c r="A79" i="3" s="1"/>
  <c r="A69" i="3" a="1"/>
  <c r="A69" i="3" s="1"/>
  <c r="A68" i="3" a="1"/>
  <c r="A68" i="3" s="1"/>
  <c r="A18" i="3" a="1"/>
  <c r="A18" i="3" s="1"/>
  <c r="A17" i="3" a="1"/>
  <c r="A17" i="3" s="1"/>
  <c r="H3" i="3" a="1"/>
  <c r="H3" i="3" s="1"/>
  <c r="G3" i="3" a="1"/>
  <c r="G3" i="3" s="1"/>
  <c r="F4" i="3"/>
  <c r="F5" i="3"/>
  <c r="F6" i="3"/>
  <c r="F7" i="3"/>
  <c r="F8" i="3"/>
  <c r="F9" i="3"/>
  <c r="F10" i="3"/>
  <c r="F11" i="3"/>
  <c r="F12" i="3"/>
  <c r="F13" i="3"/>
  <c r="F14" i="3"/>
  <c r="F3" i="3"/>
  <c r="D3" i="3"/>
  <c r="D4" i="3"/>
  <c r="D5" i="3"/>
  <c r="D6" i="3"/>
  <c r="D7" i="3"/>
  <c r="D8" i="3"/>
  <c r="D9" i="3"/>
  <c r="D10" i="3"/>
  <c r="D11" i="3"/>
  <c r="D12" i="3"/>
  <c r="D13" i="3"/>
  <c r="D14" i="3"/>
  <c r="C3" i="3" a="1"/>
  <c r="C3" i="3" s="1"/>
  <c r="B4" i="3"/>
  <c r="B5" i="3"/>
  <c r="B6" i="3"/>
  <c r="B7" i="3"/>
  <c r="B8" i="3"/>
  <c r="B9" i="3"/>
  <c r="B10" i="3"/>
  <c r="B11" i="3"/>
  <c r="B12" i="3"/>
  <c r="B13" i="3"/>
  <c r="B14" i="3"/>
  <c r="B3" i="3"/>
  <c r="G246" i="3" l="1" a="1"/>
  <c r="G246" i="3" s="1"/>
  <c r="G251" i="3" a="1"/>
  <c r="G251" i="3" s="1"/>
  <c r="G245" i="3" a="1"/>
  <c r="G245" i="3" s="1"/>
  <c r="G250" i="3" a="1"/>
  <c r="G250" i="3" s="1"/>
  <c r="K244" i="3" a="1"/>
  <c r="K244" i="3" s="1"/>
  <c r="G244" i="3" a="1"/>
  <c r="G244" i="3" s="1"/>
  <c r="G249" i="3" a="1"/>
  <c r="G249" i="3" s="1"/>
  <c r="G255" i="3" a="1"/>
  <c r="G255" i="3" s="1"/>
  <c r="J244" i="3" a="1"/>
  <c r="J244" i="3" s="1"/>
  <c r="G254" i="3" a="1"/>
  <c r="G254" i="3" s="1"/>
  <c r="G248" i="3" a="1"/>
  <c r="G248" i="3" s="1"/>
  <c r="G253" i="3" a="1"/>
  <c r="G253" i="3" s="1"/>
  <c r="D244" i="3" a="1"/>
  <c r="D244" i="3" s="1"/>
  <c r="F250" i="3"/>
  <c r="F249" i="3"/>
  <c r="F244" i="3"/>
  <c r="F248" i="3"/>
  <c r="F255" i="3"/>
  <c r="F247" i="3"/>
  <c r="F254" i="3"/>
  <c r="F246" i="3"/>
  <c r="F253" i="3"/>
  <c r="F245" i="3"/>
  <c r="F252" i="3"/>
  <c r="F251" i="3"/>
  <c r="B244" i="3" a="1"/>
  <c r="B244" i="3" s="1"/>
  <c r="B139" i="3" a="1"/>
  <c r="B139" i="3" s="1"/>
  <c r="B140" i="3" a="1"/>
  <c r="B140" i="3" s="1"/>
  <c r="B11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<sst xmlns="http://schemas.openxmlformats.org/spreadsheetml/2006/main" count="2473" uniqueCount="817">
  <si>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</si>
  <si>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</si>
  <si>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</si>
  <si>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</si>
  <si>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</si>
  <si>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</si>
  <si>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</si>
  <si>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</si>
  <si>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</si>
  <si>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</si>
  <si>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</si>
  <si>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</si>
  <si>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</si>
  <si>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</si>
  <si>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</si>
  <si>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</si>
  <si>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</si>
  <si>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</si>
  <si>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</si>
  <si>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</si>
  <si>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</si>
  <si>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</si>
  <si>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</si>
  <si>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</si>
  <si>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</si>
  <si>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</si>
  <si>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</si>
  <si>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</si>
  <si>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</si>
  <si>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</si>
  <si>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</si>
  <si>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</si>
  <si>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</si>
  <si>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</si>
  <si>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</si>
  <si>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</si>
  <si>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</si>
  <si>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</si>
  <si>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</si>
  <si>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</si>
  <si>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</si>
  <si>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</si>
  <si>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</si>
  <si>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</si>
  <si>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</si>
  <si>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</si>
  <si>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</si>
  <si>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</si>
  <si>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</si>
  <si>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</si>
  <si>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</si>
  <si>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</si>
  <si>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</si>
  <si>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</si>
  <si>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</si>
  <si>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</si>
  <si>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</si>
  <si>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</si>
  <si>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</si>
  <si>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</si>
  <si>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</si>
  <si>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</si>
  <si>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</si>
  <si>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</si>
  <si>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</si>
  <si>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</si>
  <si>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</si>
  <si>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</si>
  <si>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</si>
  <si>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</si>
  <si>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</si>
  <si>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</si>
  <si>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</si>
  <si>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</si>
  <si>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</si>
  <si>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</si>
  <si>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</si>
  <si>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</si>
  <si>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</si>
  <si>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</si>
  <si>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</si>
  <si>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</si>
  <si>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</si>
  <si>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</si>
  <si>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</si>
  <si>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</si>
  <si>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</si>
  <si>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</si>
  <si>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</si>
  <si>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</si>
  <si>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</si>
  <si>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</si>
  <si>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</si>
  <si>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</si>
  <si>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</si>
  <si>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</si>
  <si>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</si>
  <si>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</si>
  <si>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</si>
  <si>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</si>
  <si>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</si>
  <si>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</si>
  <si>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</si>
  <si>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</si>
  <si>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</si>
  <si>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</si>
  <si>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</si>
  <si>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</si>
  <si>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</si>
  <si>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</si>
  <si>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</si>
  <si>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</si>
  <si>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</si>
  <si>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</si>
  <si>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</si>
  <si>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</si>
  <si>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</si>
  <si>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</si>
  <si>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</si>
  <si>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</si>
  <si>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</si>
  <si>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</si>
  <si>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</si>
  <si>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</si>
  <si>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</si>
  <si>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</si>
  <si>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</si>
  <si>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</si>
  <si>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</si>
  <si>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</si>
  <si>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</si>
  <si>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</si>
  <si>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</si>
  <si>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</si>
  <si>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</si>
  <si>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</si>
  <si>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</si>
  <si>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</si>
  <si>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</si>
  <si>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</si>
  <si>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</si>
  <si>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</si>
  <si>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</si>
  <si>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</si>
  <si>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</si>
  <si>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</si>
  <si>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</si>
  <si>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</si>
  <si>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</si>
  <si>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</si>
  <si>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</si>
  <si>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</si>
  <si>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</si>
  <si>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</si>
  <si>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</si>
  <si>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</si>
  <si>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</si>
  <si>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</si>
  <si>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</si>
  <si>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</si>
  <si>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</si>
  <si>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</si>
  <si>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</si>
  <si>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</si>
  <si>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</si>
  <si>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</si>
  <si>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</si>
  <si>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</si>
  <si>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</si>
  <si>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</si>
  <si>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</si>
  <si>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</si>
  <si>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</si>
  <si>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</si>
  <si>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</si>
  <si>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</si>
  <si>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</si>
  <si>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</si>
  <si>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</si>
  <si>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</si>
  <si>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</si>
  <si>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</si>
  <si>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</si>
  <si>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</si>
  <si>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</si>
  <si>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</si>
  <si>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</si>
  <si>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</si>
  <si>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</si>
  <si>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</si>
  <si>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</si>
  <si>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</si>
  <si>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</si>
  <si>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</si>
  <si>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</si>
  <si>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</si>
  <si>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</si>
  <si>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</si>
  <si>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</si>
  <si>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</si>
  <si>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</si>
  <si>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</si>
  <si>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</si>
  <si>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</si>
  <si>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</si>
  <si>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</si>
  <si>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</si>
  <si>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</si>
  <si>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</si>
  <si>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</si>
  <si>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</si>
  <si>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</si>
  <si>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</si>
  <si>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</si>
  <si>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</si>
  <si>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</si>
  <si>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</si>
  <si>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</si>
  <si>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</si>
  <si>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</si>
  <si>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</si>
  <si>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</si>
  <si>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</si>
  <si>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</si>
  <si>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</si>
  <si>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</si>
  <si>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</si>
  <si>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</si>
  <si>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</si>
  <si>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</si>
  <si>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</si>
  <si>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</si>
  <si>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</si>
  <si>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</si>
  <si>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</si>
  <si>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</si>
  <si>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</si>
  <si>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</si>
  <si>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</si>
  <si>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</si>
  <si>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</si>
  <si>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</si>
  <si>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</si>
  <si>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</si>
  <si>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</si>
  <si>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</si>
  <si>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</si>
  <si>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</si>
  <si>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</si>
  <si>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</si>
  <si>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</si>
  <si>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</si>
  <si>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</si>
  <si>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</si>
  <si>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</si>
  <si>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</si>
  <si>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</si>
  <si>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</si>
  <si>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</si>
  <si>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</si>
  <si>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</si>
  <si>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</si>
  <si>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</si>
  <si>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</si>
  <si>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</si>
  <si>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</si>
  <si>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</si>
  <si>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</si>
  <si>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</si>
  <si>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</si>
  <si>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</si>
  <si>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</si>
  <si>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</si>
  <si>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</si>
  <si>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</si>
  <si>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</si>
  <si>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</si>
  <si>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</si>
  <si>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</si>
  <si>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</si>
  <si>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</si>
  <si>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</si>
  <si>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</si>
  <si>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</si>
  <si>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</si>
  <si>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</si>
  <si>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</si>
  <si>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</si>
  <si>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</si>
  <si>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</si>
  <si>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</si>
  <si>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</si>
  <si>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</si>
  <si>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</si>
  <si>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</si>
  <si>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</si>
  <si>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</si>
  <si>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</si>
  <si>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</si>
  <si>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</si>
  <si>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</si>
  <si>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</si>
  <si>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</si>
  <si>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</si>
  <si>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</si>
  <si>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</si>
  <si>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</si>
  <si>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</si>
  <si>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</si>
  <si>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</si>
  <si>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</si>
  <si>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</si>
  <si>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</si>
  <si>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</si>
  <si>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</si>
  <si>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</si>
  <si>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</si>
  <si>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</si>
  <si>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</si>
  <si>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</si>
  <si>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</si>
  <si>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</si>
  <si>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</si>
  <si>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</si>
  <si>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</si>
  <si>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</si>
  <si>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</si>
  <si>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</si>
  <si>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</si>
  <si>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</si>
  <si>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</si>
  <si>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</si>
  <si>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</si>
  <si>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</si>
  <si>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</si>
  <si>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</si>
  <si>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</si>
  <si>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</si>
  <si>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</si>
  <si>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</si>
  <si>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</si>
  <si>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</si>
  <si>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</si>
  <si>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</si>
  <si>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</si>
  <si>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</si>
  <si>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</si>
  <si>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</si>
  <si>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</si>
  <si>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</si>
  <si>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</si>
  <si>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</si>
  <si>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</si>
  <si>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</si>
  <si>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</si>
  <si>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</si>
  <si>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</si>
  <si>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</si>
  <si>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</si>
  <si>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</si>
  <si>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</si>
  <si>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</si>
  <si>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</si>
  <si>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</si>
  <si>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</si>
  <si>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</si>
  <si>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</si>
  <si>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</si>
  <si>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</si>
  <si>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</si>
  <si>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</si>
  <si>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</si>
  <si>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</si>
  <si>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</si>
  <si>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</si>
  <si>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</si>
  <si>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</si>
  <si>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</si>
  <si>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</si>
  <si>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</si>
  <si>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</si>
  <si>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</si>
  <si>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</si>
  <si>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</si>
  <si>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</si>
  <si>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</si>
  <si>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</si>
  <si>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</si>
  <si>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</si>
  <si>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</si>
  <si>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</si>
  <si>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</si>
  <si>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</si>
  <si>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</si>
  <si>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</si>
  <si>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</si>
  <si>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</si>
  <si>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</si>
  <si>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</si>
  <si>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</si>
  <si>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</si>
  <si>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</si>
  <si>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</si>
  <si>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</si>
  <si>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</si>
  <si>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</si>
  <si>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</si>
  <si>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</si>
  <si>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</si>
  <si>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</si>
  <si>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</si>
  <si>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</si>
  <si>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</si>
  <si>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</si>
  <si>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</si>
  <si>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</si>
  <si>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</si>
  <si>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</si>
  <si>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</si>
  <si>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</si>
  <si>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</si>
  <si>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</si>
  <si>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</si>
  <si>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</si>
  <si>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</si>
  <si>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</si>
  <si>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</si>
  <si>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</si>
  <si>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</si>
  <si>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</si>
  <si>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</si>
  <si>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</si>
  <si>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</si>
  <si>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</si>
  <si>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</si>
  <si>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</si>
  <si>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</si>
  <si>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</si>
  <si>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</si>
  <si>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</si>
  <si>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</si>
  <si>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</si>
  <si>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</si>
  <si>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</si>
  <si>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</si>
  <si>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</si>
  <si>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</si>
  <si>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</si>
  <si>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</si>
  <si>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</si>
  <si>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</si>
  <si>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</si>
  <si>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</si>
  <si>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</si>
  <si>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</si>
  <si>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</si>
  <si>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</si>
  <si>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</si>
  <si>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</si>
  <si>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</si>
  <si>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</si>
  <si>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</si>
  <si>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</si>
  <si>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</si>
  <si>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</si>
  <si>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</si>
  <si>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</si>
  <si>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</si>
  <si>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</si>
  <si>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</si>
  <si>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</si>
  <si>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</si>
  <si>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</si>
  <si>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</si>
  <si>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</si>
  <si>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</si>
  <si>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</si>
  <si>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</si>
  <si>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</si>
  <si>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</si>
  <si>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</si>
  <si>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</si>
  <si>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</si>
  <si>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</si>
  <si>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</si>
  <si>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</si>
  <si>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</si>
  <si>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</si>
  <si>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</si>
  <si>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</si>
  <si>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</si>
  <si>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</si>
  <si>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</si>
  <si>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</si>
  <si>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</si>
  <si>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</si>
  <si>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</si>
  <si>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</si>
  <si>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</si>
  <si>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</si>
  <si>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</si>
  <si>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</si>
  <si>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</si>
  <si>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</si>
  <si>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</si>
  <si>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</si>
  <si>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</si>
  <si>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</si>
  <si>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</si>
  <si>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</si>
  <si>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</si>
  <si>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</si>
  <si>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</si>
  <si>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</si>
  <si>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</si>
  <si>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</si>
  <si>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</si>
  <si>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</si>
  <si>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</si>
  <si>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</si>
  <si>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</si>
  <si>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</si>
  <si>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</si>
  <si>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</si>
  <si>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</si>
  <si>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</si>
  <si>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</si>
  <si>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</si>
  <si>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</si>
  <si>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</si>
  <si>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</si>
  <si>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</si>
  <si>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</si>
  <si>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</si>
  <si>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</si>
  <si>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</si>
  <si>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</si>
  <si>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</si>
  <si>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</si>
  <si>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</si>
  <si>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</si>
  <si>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</si>
  <si>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</si>
  <si>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</si>
  <si>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</si>
  <si>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</si>
  <si>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</si>
  <si>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</si>
  <si>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</si>
  <si>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</si>
  <si>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</si>
  <si>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</si>
  <si>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</si>
  <si>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</si>
  <si>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</si>
  <si>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</si>
  <si>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</si>
  <si>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</si>
  <si>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</si>
  <si>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</si>
  <si>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</si>
  <si>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</si>
  <si>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</si>
  <si>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</si>
  <si>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</si>
  <si>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</si>
  <si>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</si>
  <si>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</si>
  <si>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</si>
  <si>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</si>
  <si>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</si>
  <si>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</si>
  <si>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</si>
  <si>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</si>
  <si>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</si>
  <si>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</si>
  <si>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</si>
  <si>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</si>
  <si>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</si>
  <si>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</si>
  <si>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</si>
  <si>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</si>
  <si>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</si>
  <si>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</si>
  <si>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</si>
  <si>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</si>
  <si>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</si>
  <si>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</si>
  <si>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</si>
  <si>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</si>
  <si>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</si>
  <si>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</si>
  <si>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</si>
  <si>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</si>
  <si>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</si>
  <si>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</si>
  <si>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</si>
  <si>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</si>
  <si>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</si>
  <si>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</si>
  <si>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</si>
  <si>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</si>
  <si>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</si>
  <si>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</si>
  <si>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</si>
  <si>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</si>
  <si>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</si>
  <si>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</si>
  <si>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</si>
  <si>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</si>
  <si>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</si>
  <si>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</si>
  <si>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</si>
  <si>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</si>
  <si>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</si>
  <si>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</si>
  <si>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</si>
  <si>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</si>
  <si>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</si>
  <si>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</si>
  <si>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</si>
  <si>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</si>
  <si>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</si>
  <si>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</si>
  <si>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</si>
  <si>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</si>
  <si>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</si>
  <si>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</si>
  <si>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</si>
  <si>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</si>
  <si>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</si>
  <si>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</si>
  <si>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</si>
  <si>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</si>
  <si>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</si>
  <si>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</si>
  <si>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</si>
  <si>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</si>
  <si>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</si>
  <si>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</si>
  <si>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</si>
  <si>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</si>
  <si>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</si>
  <si>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</si>
  <si>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</si>
  <si>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</si>
  <si>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</si>
  <si>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</si>
  <si>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</si>
  <si>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</si>
  <si>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</si>
  <si>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</si>
  <si>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</si>
  <si>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</si>
  <si>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</si>
  <si>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</si>
  <si>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</si>
  <si>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</si>
  <si>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</si>
  <si>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</si>
  <si>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</si>
  <si>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</si>
  <si>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</si>
  <si>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</si>
  <si>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</si>
  <si>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</si>
  <si>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</si>
  <si>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</si>
  <si>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</si>
  <si>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</si>
  <si>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</si>
  <si>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</si>
  <si>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</si>
  <si>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</si>
  <si>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</si>
  <si>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</si>
  <si>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</si>
  <si>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</si>
  <si>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</si>
  <si>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</si>
  <si>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</si>
  <si>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</si>
  <si>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</si>
  <si>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</si>
  <si>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</si>
  <si>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</si>
  <si>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</si>
  <si>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</si>
  <si>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</si>
  <si>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</si>
  <si>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</si>
  <si>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</si>
  <si>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</si>
  <si>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</si>
  <si>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</si>
  <si>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</si>
  <si>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</si>
  <si>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</si>
  <si>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</si>
  <si>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</si>
  <si>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</si>
  <si>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</si>
  <si>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</si>
  <si>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</si>
  <si>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</si>
  <si>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</si>
  <si>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</si>
  <si>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</si>
  <si>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</si>
  <si>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</si>
  <si>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</si>
  <si>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</si>
  <si>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</si>
  <si>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</si>
  <si>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</si>
  <si>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</si>
  <si>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</si>
  <si>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</si>
  <si>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</si>
  <si>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</si>
  <si>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</si>
  <si>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</si>
  <si>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</si>
  <si>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</si>
  <si>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</si>
  <si>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</si>
  <si>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</si>
  <si>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</si>
  <si>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</si>
  <si>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</si>
  <si>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</si>
  <si>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</si>
  <si>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</si>
  <si>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</si>
  <si>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</si>
  <si>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</si>
  <si>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</si>
  <si>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</si>
  <si>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</si>
  <si>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</si>
  <si>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</si>
  <si>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</si>
  <si>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</si>
  <si>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</si>
  <si>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</si>
  <si>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</si>
  <si>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</si>
  <si>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</si>
  <si>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</si>
  <si>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</si>
  <si>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</si>
  <si>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</si>
  <si>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</si>
  <si>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</si>
  <si>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</si>
  <si>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</si>
  <si>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</si>
  <si>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</si>
  <si>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</si>
  <si>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</si>
  <si>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</si>
  <si>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Challenge for you…</t>
  </si>
  <si>
    <t>Permanent headcount</t>
  </si>
  <si>
    <t>who joined in 2020 or after…</t>
  </si>
  <si>
    <t>All depts in one cell, comma seperated</t>
  </si>
  <si>
    <t>Find all employees with 120,000 salary</t>
  </si>
  <si>
    <t>Female employees with Monday start</t>
  </si>
  <si>
    <t>Calculate Median Salary and Female Ratio</t>
  </si>
  <si>
    <t>Headcount</t>
  </si>
  <si>
    <t>Average sal</t>
  </si>
  <si>
    <t>Permenant head count</t>
  </si>
  <si>
    <t>Temporary head count</t>
  </si>
  <si>
    <t>Fixed Term head count</t>
  </si>
  <si>
    <r>
      <t>DIPARTMENT BASED CALCULATIONS: [</t>
    </r>
    <r>
      <rPr>
        <b/>
        <sz val="22"/>
        <color theme="4"/>
        <rFont val="Calibri"/>
        <family val="2"/>
        <scheme val="minor"/>
      </rPr>
      <t>COUNTIFS, SUMIFS,AVERAGEIFS</t>
    </r>
    <r>
      <rPr>
        <b/>
        <sz val="22"/>
        <color theme="1"/>
        <rFont val="Calibri"/>
        <family val="2"/>
        <scheme val="minor"/>
      </rPr>
      <t>]</t>
    </r>
  </si>
  <si>
    <r>
      <t>ALL EMPLOYEES WITH SALARY GREATER THAN 100 K :(</t>
    </r>
    <r>
      <rPr>
        <b/>
        <sz val="22"/>
        <color theme="4"/>
        <rFont val="Calibri"/>
        <family val="2"/>
        <scheme val="minor"/>
      </rPr>
      <t>FILTER, =STAFF[HEADERS]</t>
    </r>
    <r>
      <rPr>
        <b/>
        <sz val="22"/>
        <color theme="1"/>
        <rFont val="Calibri"/>
        <family val="2"/>
        <scheme val="minor"/>
      </rPr>
      <t>)</t>
    </r>
  </si>
  <si>
    <t>COLUMNS 1,2,3,5,6: NAMES, DIPARTMENT, SLARAY</t>
  </si>
  <si>
    <r>
      <t>ALL EMPLOYEES WITH SALARY GREATER THAN 100 K COLUMN :(</t>
    </r>
    <r>
      <rPr>
        <b/>
        <sz val="14"/>
        <color theme="4"/>
        <rFont val="Calibri"/>
        <family val="2"/>
        <scheme val="minor"/>
      </rPr>
      <t>FILTER</t>
    </r>
    <r>
      <rPr>
        <b/>
        <sz val="14"/>
        <color theme="1"/>
        <rFont val="Calibri"/>
        <family val="2"/>
        <scheme val="minor"/>
      </rPr>
      <t>, =STAFF[HEADERS],CHOOSECOLS)</t>
    </r>
  </si>
  <si>
    <t>NOT WORKING IN THIS EXCEL THE FORMULA IS =CHOOSECOLS(FILTER(staff,staff[Salary]&gt;=F67),1,2,3,5,6)</t>
  </si>
  <si>
    <r>
      <t xml:space="preserve">ALL </t>
    </r>
    <r>
      <rPr>
        <b/>
        <sz val="16"/>
        <color theme="4"/>
        <rFont val="Calibri"/>
        <family val="2"/>
        <scheme val="minor"/>
      </rPr>
      <t>FEMALE</t>
    </r>
    <r>
      <rPr>
        <b/>
        <sz val="16"/>
        <color theme="1"/>
        <rFont val="Calibri"/>
        <family val="2"/>
        <scheme val="minor"/>
      </rPr>
      <t xml:space="preserve"> EMPLOYEES WITH SALARY GREATER THAN 100 K  :(FILTER [MULTIPLE CONDITION], =STAFF[HEADERS],CHOOSECOLS)</t>
    </r>
  </si>
  <si>
    <r>
      <t xml:space="preserve">ALL </t>
    </r>
    <r>
      <rPr>
        <b/>
        <sz val="16"/>
        <color theme="4"/>
        <rFont val="Calibri"/>
        <family val="2"/>
        <scheme val="minor"/>
      </rPr>
      <t>FEMALE</t>
    </r>
    <r>
      <rPr>
        <b/>
        <sz val="16"/>
        <color theme="1"/>
        <rFont val="Calibri"/>
        <family val="2"/>
        <scheme val="minor"/>
      </rPr>
      <t xml:space="preserve"> EMPLOYEES WITH SALARY GREATER THAN 100 K AND JOINED AFTER 2019  :(FILTER [MULTIPLE CONDITION], =STAFF[HEADERS],CHOOSECOLS)</t>
    </r>
  </si>
  <si>
    <t>ALL EMP</t>
  </si>
  <si>
    <t>LOWEST SALARY</t>
  </si>
  <si>
    <t>HIGHEST SALARY</t>
  </si>
  <si>
    <t>TOP 5 SALARY</t>
  </si>
  <si>
    <t xml:space="preserve">Lowest, highest and top 5 salary values: (MIN, MAX, LARGE, MINIFS) </t>
  </si>
  <si>
    <t>TAKE DOESN’T WORK IN THIS EXCEL SO EQ IS =TAKE(SORT(staff[Salary],,-1),5)</t>
  </si>
  <si>
    <t>count :</t>
  </si>
  <si>
    <t>Employee details lookup: (VLOOKUP, INDEX + MATCH)</t>
  </si>
  <si>
    <t xml:space="preserve">Emp ID </t>
  </si>
  <si>
    <t xml:space="preserve">TOP 5 SALARY (diff func) </t>
  </si>
  <si>
    <t>Employee details lookup: (XLOOKUP, IFERROR)</t>
  </si>
  <si>
    <t>Last name</t>
  </si>
  <si>
    <t>With xlookup</t>
  </si>
  <si>
    <t>No employes so blank</t>
  </si>
  <si>
    <t>Complex formula: Highest salary person: (XLOOKUP + MAX)</t>
  </si>
  <si>
    <t>One person</t>
  </si>
  <si>
    <t>All person</t>
  </si>
  <si>
    <t>XLOOKUP(MAX(staff[Salary]),staff[Salary],staff[First Name]&amp;" "&amp;staff[Last Name])</t>
  </si>
  <si>
    <r>
      <rPr>
        <sz val="11"/>
        <color theme="3" tint="0.39997558519241921"/>
        <rFont val="Calibri"/>
        <family val="2"/>
        <scheme val="minor"/>
      </rPr>
      <t>FILTER(staff[First Name]&amp;" "&amp;staff[Last Name],staff[Salary]=MAX</t>
    </r>
    <r>
      <rPr>
        <sz val="11"/>
        <color theme="3" tint="0.39997558519241921"/>
        <rFont val="Calibri"/>
        <family val="2"/>
      </rPr>
      <t>(</t>
    </r>
    <r>
      <rPr>
        <sz val="11"/>
        <color theme="3" tint="0.39997558519241921"/>
        <rFont val="Calibri"/>
        <family val="2"/>
        <scheme val="minor"/>
      </rPr>
      <t>staff[Salary]</t>
    </r>
    <r>
      <rPr>
        <sz val="11"/>
        <color theme="3" tint="0.39997558519241921"/>
        <rFont val="Calibri"/>
        <family val="2"/>
      </rPr>
      <t>)</t>
    </r>
    <r>
      <rPr>
        <sz val="11"/>
        <color theme="3" tint="0.39997558519241921"/>
        <rFont val="Calibri"/>
        <family val="2"/>
        <scheme val="minor"/>
      </rPr>
      <t>)</t>
    </r>
  </si>
  <si>
    <t>to print more values id there is same max values for more than 1 employee</t>
  </si>
  <si>
    <t>to print value the , in straight</t>
  </si>
  <si>
    <t>Complex formula: All employees joined in March: (FILTER + MONTH)</t>
  </si>
  <si>
    <t>Emp id</t>
  </si>
  <si>
    <t>Equation for the question:-</t>
  </si>
  <si>
    <r>
      <rPr>
        <sz val="11"/>
        <color theme="3" tint="0.39997558519241921"/>
        <rFont val="Calibri"/>
        <family val="2"/>
        <scheme val="minor"/>
      </rPr>
      <t>FILTER(staff[[Emp ID]:[Last Name]],MONTH</t>
    </r>
    <r>
      <rPr>
        <sz val="11"/>
        <color theme="3" tint="0.39997558519241921"/>
        <rFont val="Calibri"/>
        <family val="2"/>
      </rPr>
      <t>(</t>
    </r>
    <r>
      <rPr>
        <sz val="11"/>
        <color theme="3" tint="0.39997558519241921"/>
        <rFont val="Calibri"/>
        <family val="2"/>
        <scheme val="minor"/>
      </rPr>
      <t>staff[Start Date]</t>
    </r>
    <r>
      <rPr>
        <sz val="11"/>
        <color theme="3" tint="0.39997558519241921"/>
        <rFont val="Calibri"/>
        <family val="2"/>
      </rPr>
      <t>)</t>
    </r>
    <r>
      <rPr>
        <sz val="11"/>
        <color theme="3" tint="0.39997558519241921"/>
        <rFont val="Calibri"/>
        <family val="2"/>
        <scheme val="minor"/>
      </rPr>
      <t>=3)</t>
    </r>
  </si>
  <si>
    <r>
      <rPr>
        <b/>
        <sz val="11"/>
        <color theme="1"/>
        <rFont val="Calibri"/>
        <family val="2"/>
        <scheme val="minor"/>
      </rPr>
      <t>emp with starting name "H"</t>
    </r>
    <r>
      <rPr>
        <sz val="11"/>
        <color theme="1"/>
        <rFont val="Calibri"/>
        <family val="2"/>
        <scheme val="minor"/>
      </rPr>
      <t xml:space="preserve"> </t>
    </r>
  </si>
  <si>
    <t>Female emp with Monday start</t>
  </si>
  <si>
    <r>
      <rPr>
        <b/>
        <sz val="11"/>
        <color theme="1"/>
        <rFont val="Calibri"/>
        <family val="2"/>
        <scheme val="minor"/>
      </rPr>
      <t>Equation for the question</t>
    </r>
    <r>
      <rPr>
        <sz val="11"/>
        <color theme="1"/>
        <rFont val="Calibri"/>
        <family val="2"/>
        <scheme val="minor"/>
      </rPr>
      <t xml:space="preserve">:- </t>
    </r>
    <r>
      <rPr>
        <b/>
        <sz val="11"/>
        <color theme="1"/>
        <rFont val="Calibri"/>
        <family val="2"/>
        <scheme val="minor"/>
      </rPr>
      <t>FILTER(staff[[Emp ID]:[Start Date]],(staff[Gender]="Female")*(WEEKDAY(staff[Start Date],2)=1))</t>
    </r>
  </si>
  <si>
    <t>All departments</t>
  </si>
  <si>
    <t>Headcounts</t>
  </si>
  <si>
    <t>Avg salary</t>
  </si>
  <si>
    <t>%diff from overall avg</t>
  </si>
  <si>
    <t>highest salary</t>
  </si>
  <si>
    <t>salary median</t>
  </si>
  <si>
    <t>total males</t>
  </si>
  <si>
    <t>total females</t>
  </si>
  <si>
    <t>Femal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</si>
</sst>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</font>
    <font>
      <sz val="11"/>
      <color theme="4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3" tint="-0.249977111117893"/>
      </left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 style="thin">
        <color indexed="64"/>
      </right>
      <top style="double">
        <color theme="3" tint="-0.249977111117893"/>
      </top>
      <bottom style="double">
        <color theme="3" tint="-0.249977111117893"/>
      </bottom>
      <diagonal/>
    </border>
    <border>
      <left style="thin">
        <color indexed="64"/>
      </left>
      <right style="thin">
        <color indexed="64"/>
      </right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 style="thin">
        <color indexed="64"/>
      </right>
      <top/>
      <bottom style="double">
        <color theme="3" tint="-0.249977111117893"/>
      </bottom>
      <diagonal/>
    </border>
    <border>
      <left style="thin">
        <color indexed="64"/>
      </left>
      <right style="thin">
        <color indexed="64"/>
      </right>
      <top/>
      <bottom style="double">
        <color theme="3" tint="-0.249977111117893"/>
      </bottom>
      <diagonal/>
    </border>
    <border>
      <left style="thin">
        <color indexed="64"/>
      </left>
      <right style="double">
        <color theme="3" tint="-0.249977111117893"/>
      </right>
      <top/>
      <bottom style="double">
        <color theme="3" tint="-0.249977111117893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6" fillId="6" borderId="5" xfId="0" applyFont="1" applyFill="1" applyBorder="1"/>
    <xf numFmtId="42" fontId="0" fillId="0" borderId="0" xfId="1" applyNumberFormat="1" applyFont="1"/>
    <xf numFmtId="0" fontId="10" fillId="0" borderId="0" xfId="0" applyFont="1" applyBorder="1" applyAlignmen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Alignment="1"/>
    <xf numFmtId="0" fontId="0" fillId="4" borderId="0" xfId="0" applyFill="1"/>
    <xf numFmtId="0" fontId="2" fillId="4" borderId="0" xfId="0" applyFont="1" applyFill="1"/>
    <xf numFmtId="14" fontId="2" fillId="4" borderId="0" xfId="0" applyNumberFormat="1" applyFont="1" applyFill="1"/>
    <xf numFmtId="0" fontId="0" fillId="7" borderId="0" xfId="0" applyFill="1"/>
    <xf numFmtId="14" fontId="0" fillId="0" borderId="0" xfId="0" applyNumberFormat="1" applyAlignment="1"/>
    <xf numFmtId="44" fontId="0" fillId="0" borderId="6" xfId="1" applyFont="1" applyBorder="1"/>
    <xf numFmtId="44" fontId="0" fillId="0" borderId="0" xfId="1" applyFont="1" applyBorder="1"/>
    <xf numFmtId="0" fontId="0" fillId="8" borderId="7" xfId="0" applyFill="1" applyBorder="1"/>
    <xf numFmtId="0" fontId="0" fillId="8" borderId="0" xfId="0" applyFill="1"/>
    <xf numFmtId="0" fontId="15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0" fillId="9" borderId="0" xfId="0" applyFill="1"/>
    <xf numFmtId="0" fontId="16" fillId="0" borderId="0" xfId="0" applyFont="1"/>
    <xf numFmtId="0" fontId="0" fillId="10" borderId="0" xfId="0" applyFill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4" xfId="0" applyBorder="1"/>
    <xf numFmtId="14" fontId="0" fillId="0" borderId="10" xfId="0" applyNumberFormat="1" applyBorder="1"/>
    <xf numFmtId="14" fontId="0" fillId="0" borderId="12" xfId="0" applyNumberFormat="1" applyBorder="1"/>
    <xf numFmtId="14" fontId="0" fillId="0" borderId="14" xfId="0" applyNumberFormat="1" applyBorder="1"/>
    <xf numFmtId="0" fontId="2" fillId="9" borderId="0" xfId="0" applyFont="1" applyFill="1" applyAlignment="1">
      <alignment horizontal="center"/>
    </xf>
    <xf numFmtId="0" fontId="9" fillId="7" borderId="0" xfId="0" applyFont="1" applyFill="1" applyAlignment="1"/>
    <xf numFmtId="0" fontId="0" fillId="11" borderId="0" xfId="0" applyFill="1" applyAlignment="1">
      <alignment horizontal="center"/>
    </xf>
    <xf numFmtId="0" fontId="2" fillId="0" borderId="11" xfId="0" applyFont="1" applyBorder="1"/>
    <xf numFmtId="0" fontId="2" fillId="0" borderId="13" xfId="0" applyFont="1" applyBorder="1"/>
    <xf numFmtId="0" fontId="2" fillId="4" borderId="15" xfId="0" applyFont="1" applyFill="1" applyBorder="1"/>
    <xf numFmtId="0" fontId="2" fillId="4" borderId="15" xfId="0" applyFont="1" applyFill="1" applyBorder="1" applyAlignment="1">
      <alignment horizontal="center"/>
    </xf>
    <xf numFmtId="44" fontId="0" fillId="0" borderId="0" xfId="1" applyFont="1"/>
    <xf numFmtId="0" fontId="0" fillId="0" borderId="0" xfId="0" applyNumberFormat="1"/>
    <xf numFmtId="0" fontId="0" fillId="12" borderId="18" xfId="0" applyFill="1" applyBorder="1" applyAlignment="1">
      <alignment horizontal="center"/>
    </xf>
    <xf numFmtId="44" fontId="0" fillId="12" borderId="19" xfId="1" applyFont="1" applyFill="1" applyBorder="1" applyAlignment="1">
      <alignment horizontal="center"/>
    </xf>
    <xf numFmtId="44" fontId="18" fillId="12" borderId="19" xfId="1" applyFont="1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44" fontId="0" fillId="12" borderId="17" xfId="1" applyFont="1" applyFill="1" applyBorder="1" applyAlignment="1">
      <alignment horizontal="center"/>
    </xf>
    <xf numFmtId="44" fontId="18" fillId="12" borderId="17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4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>
    <filterColumn colId="3">
      <filters>
        <filter val="Need to check"/>
      </filters>
    </filterColumn>
  </autoFilter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A4" zoomScaleNormal="100" workbookViewId="0">
      <selection activeCell="D15" sqref="D15"/>
    </sheetView>
  </sheetViews>
  <sheetFormatPr defaultRowHeight="14.4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>
      <c r="A1" s="1"/>
      <c r="C1" s="3" t="s">
        <v>739</v>
      </c>
    </row>
    <row r="5" spans="1:14" ht="21" customHeight="1">
      <c r="C5" s="16"/>
      <c r="D5" s="17" t="s">
        <v>758</v>
      </c>
      <c r="E5" s="16"/>
      <c r="F5" s="17" t="s">
        <v>759</v>
      </c>
      <c r="G5" s="17" t="s">
        <v>761</v>
      </c>
    </row>
    <row r="6" spans="1:14" ht="21" customHeight="1">
      <c r="C6" s="10">
        <v>1</v>
      </c>
      <c r="D6" s="11" t="s">
        <v>740</v>
      </c>
      <c r="E6" s="11"/>
      <c r="F6" s="14" t="s">
        <v>741</v>
      </c>
      <c r="G6" s="11" t="s">
        <v>762</v>
      </c>
      <c r="H6" s="5"/>
      <c r="J6" s="6"/>
      <c r="N6" s="4"/>
    </row>
    <row r="7" spans="1:14" ht="21" customHeight="1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>
      <c r="C8" s="12">
        <v>3</v>
      </c>
      <c r="D8" s="13" t="s">
        <v>744</v>
      </c>
      <c r="E8" s="13"/>
      <c r="F8" s="15" t="s">
        <v>745</v>
      </c>
      <c r="G8" s="13" t="s">
        <v>763</v>
      </c>
      <c r="H8" s="5"/>
      <c r="J8" s="6"/>
      <c r="N8" s="4"/>
    </row>
    <row r="9" spans="1:14" ht="21" customHeight="1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>
      <c r="C10" s="12">
        <v>5</v>
      </c>
      <c r="D10" s="13" t="s">
        <v>748</v>
      </c>
      <c r="E10" s="13"/>
      <c r="F10" s="15" t="s">
        <v>751</v>
      </c>
      <c r="G10" s="25" t="s">
        <v>764</v>
      </c>
      <c r="H10" s="5"/>
      <c r="J10" s="6"/>
      <c r="N10" s="4"/>
    </row>
    <row r="11" spans="1:14" ht="21" customHeight="1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>
      <c r="C12" s="12">
        <v>7</v>
      </c>
      <c r="D12" s="13" t="s">
        <v>749</v>
      </c>
      <c r="E12" s="13"/>
      <c r="F12" s="15" t="s">
        <v>760</v>
      </c>
      <c r="G12" s="25" t="s">
        <v>765</v>
      </c>
      <c r="H12" s="5"/>
      <c r="J12" s="6"/>
      <c r="N12" s="4"/>
    </row>
    <row r="13" spans="1:14" ht="21" customHeight="1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>
      <c r="C14" s="18">
        <v>9</v>
      </c>
      <c r="D14" s="19" t="s">
        <v>754</v>
      </c>
      <c r="E14" s="19"/>
      <c r="F14" s="20" t="s">
        <v>755</v>
      </c>
      <c r="G14" s="19" t="s">
        <v>766</v>
      </c>
      <c r="H14" s="5"/>
      <c r="J14" s="6"/>
      <c r="N14" s="4"/>
    </row>
    <row r="15" spans="1:14" ht="28.8">
      <c r="C15" s="21">
        <v>10</v>
      </c>
      <c r="D15" s="22" t="s">
        <v>756</v>
      </c>
      <c r="E15" s="23"/>
      <c r="F15" s="24" t="s">
        <v>757</v>
      </c>
      <c r="G15" s="22" t="s">
        <v>767</v>
      </c>
      <c r="H15" s="5"/>
      <c r="J15" s="6"/>
      <c r="N15" s="4"/>
    </row>
    <row r="16" spans="1:14">
      <c r="H16" s="5"/>
      <c r="J16" s="6"/>
      <c r="N16" s="4"/>
    </row>
    <row r="17" spans="8:14">
      <c r="H17" s="5"/>
      <c r="J17" s="6"/>
      <c r="N17" s="4"/>
    </row>
    <row r="18" spans="8:14">
      <c r="H18" s="5"/>
      <c r="J18" s="6"/>
      <c r="N18" s="4"/>
    </row>
    <row r="19" spans="8:14">
      <c r="H19" s="5"/>
      <c r="J19" s="6"/>
      <c r="N19" s="4"/>
    </row>
    <row r="20" spans="8:14">
      <c r="H20" s="5"/>
      <c r="J20" s="6"/>
      <c r="N20" s="4"/>
    </row>
    <row r="21" spans="8:14">
      <c r="H21" s="5"/>
      <c r="J21" s="6"/>
      <c r="N21" s="4"/>
    </row>
    <row r="22" spans="8:14">
      <c r="H22" s="5"/>
      <c r="J22" s="6"/>
      <c r="N22" s="4"/>
    </row>
    <row r="23" spans="8:14">
      <c r="H23" s="5"/>
      <c r="J23" s="6"/>
      <c r="N23" s="4"/>
    </row>
    <row r="24" spans="8:14">
      <c r="H24" s="5"/>
      <c r="J24" s="6"/>
      <c r="N24" s="4"/>
    </row>
    <row r="25" spans="8:14">
      <c r="H25" s="5"/>
      <c r="J25" s="6"/>
      <c r="N25" s="4"/>
    </row>
    <row r="26" spans="8:14">
      <c r="H26" s="5"/>
      <c r="J26" s="6"/>
      <c r="N26" s="4"/>
    </row>
    <row r="27" spans="8:14">
      <c r="H27" s="5"/>
      <c r="J27" s="6"/>
      <c r="N27" s="4"/>
    </row>
    <row r="28" spans="8:14">
      <c r="H28" s="5"/>
      <c r="J28" s="6"/>
      <c r="N28" s="4"/>
    </row>
    <row r="29" spans="8:14">
      <c r="H29" s="5"/>
      <c r="J29" s="6"/>
      <c r="N29" s="4"/>
    </row>
    <row r="30" spans="8:14">
      <c r="H30" s="5"/>
      <c r="J30" s="6"/>
      <c r="N30" s="4"/>
    </row>
    <row r="31" spans="8:14">
      <c r="H31" s="5"/>
      <c r="J31" s="6"/>
      <c r="N31" s="4"/>
    </row>
    <row r="32" spans="8:14">
      <c r="H32" s="5"/>
      <c r="J32" s="6"/>
      <c r="N32" s="4"/>
    </row>
    <row r="33" spans="8:14">
      <c r="H33" s="5"/>
      <c r="J33" s="6"/>
      <c r="N33" s="4"/>
    </row>
    <row r="34" spans="8:14">
      <c r="H34" s="5"/>
      <c r="J34" s="6"/>
      <c r="N34" s="4"/>
    </row>
    <row r="35" spans="8:14">
      <c r="H35" s="5"/>
      <c r="J35" s="6"/>
      <c r="N35" s="4"/>
    </row>
    <row r="36" spans="8:14">
      <c r="H36" s="5"/>
      <c r="J36" s="6"/>
      <c r="N36" s="4"/>
    </row>
    <row r="37" spans="8:14">
      <c r="H37" s="5"/>
      <c r="J37" s="6"/>
      <c r="N37" s="4"/>
    </row>
    <row r="38" spans="8:14">
      <c r="H38" s="5"/>
      <c r="J38" s="6"/>
      <c r="N38" s="4"/>
    </row>
    <row r="39" spans="8:14">
      <c r="H39" s="5"/>
      <c r="J39" s="6"/>
      <c r="N39" s="4"/>
    </row>
    <row r="40" spans="8:14">
      <c r="H40" s="5"/>
      <c r="J40" s="6"/>
      <c r="N40" s="4"/>
    </row>
    <row r="41" spans="8:14">
      <c r="H41" s="5"/>
      <c r="J41" s="6"/>
      <c r="N41" s="4"/>
    </row>
    <row r="42" spans="8:14">
      <c r="H42" s="5"/>
      <c r="J42" s="6"/>
      <c r="N42" s="4"/>
    </row>
    <row r="43" spans="8:14">
      <c r="H43" s="5"/>
      <c r="J43" s="6"/>
      <c r="N43" s="4"/>
    </row>
    <row r="44" spans="8:14">
      <c r="H44" s="5"/>
      <c r="J44" s="6"/>
      <c r="N44" s="4"/>
    </row>
    <row r="45" spans="8:14">
      <c r="H45" s="5"/>
      <c r="J45" s="6"/>
      <c r="N45" s="4"/>
    </row>
    <row r="46" spans="8:14">
      <c r="H46" s="5"/>
      <c r="J46" s="6"/>
      <c r="N46" s="4"/>
    </row>
    <row r="47" spans="8:14">
      <c r="H47" s="5"/>
      <c r="J47" s="6"/>
      <c r="N47" s="4"/>
    </row>
    <row r="48" spans="8:14">
      <c r="H48" s="5"/>
      <c r="J48" s="6"/>
      <c r="N48" s="4"/>
    </row>
    <row r="49" spans="8:14">
      <c r="H49" s="5"/>
      <c r="J49" s="6"/>
      <c r="N49" s="4"/>
    </row>
    <row r="50" spans="8:14">
      <c r="H50" s="5"/>
      <c r="J50" s="6"/>
      <c r="N50" s="4"/>
    </row>
    <row r="51" spans="8:14">
      <c r="H51" s="5"/>
      <c r="J51" s="6"/>
      <c r="N51" s="4"/>
    </row>
    <row r="52" spans="8:14">
      <c r="H52" s="5"/>
      <c r="J52" s="6"/>
      <c r="N52" s="4"/>
    </row>
    <row r="53" spans="8:14">
      <c r="H53" s="5"/>
      <c r="J53" s="6"/>
      <c r="N53" s="4"/>
    </row>
    <row r="54" spans="8:14">
      <c r="H54" s="5"/>
      <c r="J54" s="6"/>
      <c r="N54" s="4"/>
    </row>
    <row r="55" spans="8:14">
      <c r="H55" s="5"/>
      <c r="J55" s="6"/>
      <c r="N55" s="4"/>
    </row>
    <row r="56" spans="8:14">
      <c r="H56" s="5"/>
      <c r="J56" s="6"/>
      <c r="N56" s="4"/>
    </row>
    <row r="57" spans="8:14">
      <c r="H57" s="5"/>
      <c r="J57" s="6"/>
      <c r="N57" s="4"/>
    </row>
    <row r="58" spans="8:14">
      <c r="H58" s="5"/>
      <c r="J58" s="6"/>
      <c r="N58" s="4"/>
    </row>
    <row r="59" spans="8:14">
      <c r="H59" s="5"/>
      <c r="J59" s="6"/>
      <c r="N59" s="4"/>
    </row>
    <row r="60" spans="8:14">
      <c r="H60" s="5"/>
      <c r="J60" s="6"/>
      <c r="N60" s="4"/>
    </row>
    <row r="61" spans="8:14">
      <c r="H61" s="5"/>
      <c r="J61" s="6"/>
      <c r="N61" s="4"/>
    </row>
    <row r="62" spans="8:14">
      <c r="H62" s="5"/>
      <c r="J62" s="6"/>
      <c r="N62" s="4"/>
    </row>
    <row r="63" spans="8:14">
      <c r="H63" s="5"/>
      <c r="J63" s="6"/>
      <c r="N63" s="4"/>
    </row>
    <row r="64" spans="8:14">
      <c r="H64" s="5"/>
      <c r="J64" s="6"/>
      <c r="N64" s="4"/>
    </row>
    <row r="65" spans="8:14">
      <c r="H65" s="5"/>
      <c r="J65" s="6"/>
      <c r="N65" s="4"/>
    </row>
    <row r="66" spans="8:14">
      <c r="H66" s="5"/>
      <c r="J66" s="6"/>
      <c r="N66" s="4"/>
    </row>
    <row r="67" spans="8:14">
      <c r="H67" s="5"/>
      <c r="J67" s="6"/>
      <c r="N67" s="4"/>
    </row>
    <row r="68" spans="8:14">
      <c r="H68" s="5"/>
      <c r="J68" s="6"/>
      <c r="N68" s="4"/>
    </row>
    <row r="69" spans="8:14">
      <c r="H69" s="5"/>
      <c r="J69" s="6"/>
      <c r="N69" s="4"/>
    </row>
    <row r="70" spans="8:14">
      <c r="H70" s="5"/>
      <c r="J70" s="6"/>
      <c r="N70" s="4"/>
    </row>
    <row r="71" spans="8:14">
      <c r="H71" s="5"/>
      <c r="J71" s="6"/>
      <c r="N71" s="4"/>
    </row>
    <row r="72" spans="8:14">
      <c r="H72" s="5"/>
      <c r="J72" s="6"/>
      <c r="N72" s="4"/>
    </row>
    <row r="73" spans="8:14">
      <c r="H73" s="5"/>
      <c r="J73" s="6"/>
      <c r="N73" s="4"/>
    </row>
    <row r="74" spans="8:14">
      <c r="H74" s="5"/>
      <c r="J74" s="6"/>
      <c r="N74" s="4"/>
    </row>
    <row r="75" spans="8:14">
      <c r="H75" s="5"/>
      <c r="J75" s="6"/>
      <c r="N75" s="4"/>
    </row>
    <row r="76" spans="8:14">
      <c r="H76" s="5"/>
      <c r="J76" s="6"/>
      <c r="N76" s="4"/>
    </row>
    <row r="77" spans="8:14">
      <c r="H77" s="5"/>
      <c r="J77" s="6"/>
      <c r="N77" s="4"/>
    </row>
    <row r="78" spans="8:14">
      <c r="H78" s="5"/>
      <c r="J78" s="6"/>
      <c r="N78" s="4"/>
    </row>
    <row r="79" spans="8:14">
      <c r="H79" s="5"/>
      <c r="J79" s="6"/>
      <c r="N79" s="4"/>
    </row>
    <row r="80" spans="8:14">
      <c r="H80" s="5"/>
      <c r="J80" s="6"/>
      <c r="N80" s="4"/>
    </row>
    <row r="81" spans="8:14">
      <c r="H81" s="5"/>
      <c r="J81" s="6"/>
      <c r="N81" s="4"/>
    </row>
    <row r="82" spans="8:14">
      <c r="H82" s="5"/>
      <c r="J82" s="6"/>
      <c r="N82" s="4"/>
    </row>
    <row r="83" spans="8:14">
      <c r="H83" s="5"/>
      <c r="J83" s="6"/>
      <c r="N83" s="4"/>
    </row>
    <row r="84" spans="8:14">
      <c r="H84" s="5"/>
      <c r="J84" s="6"/>
      <c r="N84" s="4"/>
    </row>
    <row r="85" spans="8:14">
      <c r="H85" s="5"/>
      <c r="J85" s="6"/>
      <c r="N85" s="4"/>
    </row>
    <row r="86" spans="8:14">
      <c r="H86" s="5"/>
      <c r="J86" s="6"/>
      <c r="N86" s="4"/>
    </row>
    <row r="87" spans="8:14">
      <c r="H87" s="5"/>
      <c r="J87" s="6"/>
      <c r="N87" s="4"/>
    </row>
    <row r="88" spans="8:14">
      <c r="H88" s="5"/>
      <c r="J88" s="6"/>
      <c r="N88" s="4"/>
    </row>
    <row r="89" spans="8:14">
      <c r="H89" s="5"/>
      <c r="J89" s="6"/>
      <c r="N89" s="4"/>
    </row>
    <row r="90" spans="8:14">
      <c r="H90" s="5"/>
      <c r="J90" s="6"/>
      <c r="N90" s="4"/>
    </row>
    <row r="91" spans="8:14">
      <c r="H91" s="5"/>
      <c r="J91" s="6"/>
      <c r="N91" s="4"/>
    </row>
    <row r="92" spans="8:14">
      <c r="H92" s="5"/>
      <c r="J92" s="6"/>
      <c r="N92" s="4"/>
    </row>
    <row r="93" spans="8:14">
      <c r="H93" s="5"/>
      <c r="J93" s="6"/>
      <c r="N93" s="4"/>
    </row>
    <row r="94" spans="8:14">
      <c r="H94" s="5"/>
      <c r="J94" s="6"/>
      <c r="N94" s="4"/>
    </row>
    <row r="95" spans="8:14">
      <c r="H95" s="5"/>
      <c r="J95" s="6"/>
      <c r="N95" s="4"/>
    </row>
    <row r="96" spans="8:14">
      <c r="H96" s="5"/>
      <c r="J96" s="6"/>
      <c r="N96" s="4"/>
    </row>
    <row r="97" spans="8:14">
      <c r="H97" s="5"/>
      <c r="J97" s="6"/>
      <c r="N97" s="4"/>
    </row>
    <row r="98" spans="8:14">
      <c r="H98" s="5"/>
      <c r="J98" s="6"/>
      <c r="N98" s="4"/>
    </row>
    <row r="99" spans="8:14">
      <c r="H99" s="5"/>
      <c r="J99" s="6"/>
      <c r="N99" s="4"/>
    </row>
    <row r="100" spans="8:14">
      <c r="H100" s="5"/>
      <c r="J100" s="6"/>
      <c r="N100" s="4"/>
    </row>
    <row r="101" spans="8:14">
      <c r="H101" s="5"/>
      <c r="J101" s="6"/>
      <c r="N101" s="4"/>
    </row>
    <row r="102" spans="8:14">
      <c r="H102" s="5"/>
      <c r="J102" s="6"/>
      <c r="N102" s="4"/>
    </row>
    <row r="103" spans="8:14">
      <c r="H103" s="5"/>
      <c r="J103" s="6"/>
      <c r="N103" s="4"/>
    </row>
    <row r="104" spans="8:14">
      <c r="H104" s="5"/>
      <c r="J104" s="6"/>
      <c r="N104" s="4"/>
    </row>
    <row r="105" spans="8:14">
      <c r="H105" s="5"/>
      <c r="J105" s="6"/>
      <c r="N105" s="4"/>
    </row>
    <row r="106" spans="8:14">
      <c r="H106" s="5"/>
      <c r="J106" s="6"/>
      <c r="N106" s="4"/>
    </row>
    <row r="107" spans="8:14">
      <c r="H107" s="5"/>
      <c r="J107" s="6"/>
      <c r="N107" s="4"/>
    </row>
    <row r="108" spans="8:14">
      <c r="H108" s="5"/>
      <c r="J108" s="6"/>
      <c r="N108" s="4"/>
    </row>
    <row r="109" spans="8:14">
      <c r="H109" s="5"/>
      <c r="J109" s="6"/>
      <c r="N109" s="4"/>
    </row>
    <row r="110" spans="8:14">
      <c r="H110" s="5"/>
      <c r="J110" s="6"/>
      <c r="N110" s="4"/>
    </row>
    <row r="111" spans="8:14">
      <c r="H111" s="5"/>
      <c r="J111" s="6"/>
      <c r="N111" s="4"/>
    </row>
    <row r="112" spans="8:14">
      <c r="H112" s="5"/>
      <c r="J112" s="6"/>
      <c r="N112" s="4"/>
    </row>
    <row r="113" spans="8:14">
      <c r="H113" s="5"/>
      <c r="J113" s="6"/>
      <c r="N113" s="4"/>
    </row>
    <row r="114" spans="8:14">
      <c r="H114" s="5"/>
      <c r="J114" s="6"/>
      <c r="N114" s="4"/>
    </row>
    <row r="115" spans="8:14">
      <c r="H115" s="5"/>
      <c r="J115" s="6"/>
      <c r="N115" s="4"/>
    </row>
    <row r="116" spans="8:14">
      <c r="H116" s="5"/>
      <c r="J116" s="6"/>
      <c r="N116" s="4"/>
    </row>
    <row r="117" spans="8:14">
      <c r="H117" s="5"/>
      <c r="J117" s="6"/>
      <c r="N117" s="4"/>
    </row>
    <row r="118" spans="8:14">
      <c r="H118" s="5"/>
      <c r="J118" s="6"/>
      <c r="N118" s="4"/>
    </row>
    <row r="119" spans="8:14">
      <c r="H119" s="5"/>
      <c r="J119" s="6"/>
      <c r="N119" s="4"/>
    </row>
    <row r="120" spans="8:14">
      <c r="H120" s="5"/>
      <c r="J120" s="6"/>
      <c r="N120" s="4"/>
    </row>
    <row r="121" spans="8:14">
      <c r="H121" s="5"/>
      <c r="J121" s="6"/>
      <c r="N121" s="4"/>
    </row>
    <row r="122" spans="8:14">
      <c r="H122" s="5"/>
      <c r="J122" s="6"/>
      <c r="N122" s="4"/>
    </row>
    <row r="123" spans="8:14">
      <c r="H123" s="5"/>
      <c r="J123" s="6"/>
      <c r="N123" s="4"/>
    </row>
    <row r="124" spans="8:14">
      <c r="H124" s="5"/>
      <c r="J124" s="6"/>
      <c r="N124" s="4"/>
    </row>
    <row r="125" spans="8:14">
      <c r="H125" s="5"/>
      <c r="J125" s="6"/>
      <c r="N125" s="4"/>
    </row>
    <row r="126" spans="8:14">
      <c r="H126" s="5"/>
      <c r="J126" s="6"/>
      <c r="N126" s="4"/>
    </row>
    <row r="127" spans="8:14">
      <c r="H127" s="5"/>
      <c r="J127" s="6"/>
      <c r="N127" s="4"/>
    </row>
    <row r="128" spans="8:14">
      <c r="H128" s="5"/>
      <c r="J128" s="6"/>
      <c r="N128" s="4"/>
    </row>
    <row r="129" spans="8:14">
      <c r="H129" s="5"/>
      <c r="J129" s="6"/>
      <c r="N129" s="4"/>
    </row>
    <row r="130" spans="8:14">
      <c r="H130" s="5"/>
      <c r="J130" s="6"/>
      <c r="N130" s="4"/>
    </row>
    <row r="131" spans="8:14">
      <c r="H131" s="5"/>
      <c r="J131" s="6"/>
      <c r="N131" s="4"/>
    </row>
    <row r="132" spans="8:14">
      <c r="H132" s="5"/>
      <c r="J132" s="6"/>
      <c r="N132" s="4"/>
    </row>
    <row r="133" spans="8:14">
      <c r="H133" s="5"/>
      <c r="J133" s="6"/>
      <c r="N133" s="4"/>
    </row>
    <row r="134" spans="8:14">
      <c r="H134" s="5"/>
      <c r="J134" s="6"/>
      <c r="N134" s="4"/>
    </row>
    <row r="135" spans="8:14">
      <c r="H135" s="5"/>
      <c r="J135" s="6"/>
      <c r="N135" s="4"/>
    </row>
    <row r="136" spans="8:14">
      <c r="H136" s="5"/>
      <c r="J136" s="6"/>
      <c r="N136" s="4"/>
    </row>
    <row r="137" spans="8:14">
      <c r="H137" s="5"/>
      <c r="J137" s="6"/>
      <c r="N137" s="4"/>
    </row>
    <row r="138" spans="8:14">
      <c r="H138" s="5"/>
      <c r="J138" s="6"/>
      <c r="N138" s="4"/>
    </row>
    <row r="139" spans="8:14">
      <c r="H139" s="5"/>
      <c r="J139" s="6"/>
      <c r="N139" s="4"/>
    </row>
    <row r="140" spans="8:14">
      <c r="H140" s="5"/>
      <c r="J140" s="6"/>
      <c r="N140" s="4"/>
    </row>
    <row r="141" spans="8:14">
      <c r="H141" s="5"/>
      <c r="J141" s="6"/>
      <c r="N141" s="4"/>
    </row>
    <row r="142" spans="8:14">
      <c r="H142" s="5"/>
      <c r="J142" s="6"/>
      <c r="N142" s="4"/>
    </row>
    <row r="143" spans="8:14">
      <c r="H143" s="5"/>
      <c r="J143" s="6"/>
      <c r="N143" s="4"/>
    </row>
    <row r="144" spans="8:14">
      <c r="H144" s="5"/>
      <c r="J144" s="6"/>
      <c r="N144" s="4"/>
    </row>
    <row r="145" spans="8:14">
      <c r="H145" s="5"/>
      <c r="J145" s="6"/>
      <c r="N145" s="4"/>
    </row>
    <row r="146" spans="8:14">
      <c r="H146" s="5"/>
      <c r="J146" s="6"/>
      <c r="N146" s="4"/>
    </row>
    <row r="147" spans="8:14">
      <c r="H147" s="5"/>
      <c r="J147" s="6"/>
      <c r="N147" s="4"/>
    </row>
    <row r="148" spans="8:14">
      <c r="H148" s="5"/>
      <c r="J148" s="6"/>
      <c r="N148" s="4"/>
    </row>
    <row r="149" spans="8:14">
      <c r="H149" s="5"/>
      <c r="J149" s="6"/>
      <c r="N149" s="4"/>
    </row>
    <row r="150" spans="8:14">
      <c r="H150" s="5"/>
      <c r="J150" s="6"/>
      <c r="N150" s="4"/>
    </row>
    <row r="151" spans="8:14">
      <c r="H151" s="5"/>
      <c r="J151" s="6"/>
      <c r="N151" s="4"/>
    </row>
    <row r="152" spans="8:14">
      <c r="H152" s="5"/>
      <c r="J152" s="6"/>
      <c r="N152" s="4"/>
    </row>
    <row r="153" spans="8:14">
      <c r="H153" s="5"/>
      <c r="J153" s="6"/>
      <c r="N153" s="4"/>
    </row>
    <row r="154" spans="8:14">
      <c r="H154" s="5"/>
      <c r="J154" s="6"/>
      <c r="N154" s="4"/>
    </row>
    <row r="155" spans="8:14">
      <c r="H155" s="5"/>
      <c r="J155" s="6"/>
      <c r="N155" s="4"/>
    </row>
    <row r="156" spans="8:14">
      <c r="H156" s="5"/>
      <c r="J156" s="6"/>
      <c r="N156" s="4"/>
    </row>
    <row r="157" spans="8:14">
      <c r="H157" s="5"/>
      <c r="J157" s="6"/>
      <c r="N157" s="4"/>
    </row>
    <row r="158" spans="8:14">
      <c r="H158" s="5"/>
      <c r="J158" s="6"/>
      <c r="N158" s="4"/>
    </row>
    <row r="159" spans="8:14">
      <c r="H159" s="5"/>
      <c r="J159" s="6"/>
      <c r="N159" s="4"/>
    </row>
    <row r="160" spans="8:14">
      <c r="H160" s="5"/>
      <c r="J160" s="6"/>
      <c r="N160" s="4"/>
    </row>
    <row r="161" spans="8:14">
      <c r="H161" s="5"/>
      <c r="J161" s="6"/>
      <c r="N161" s="4"/>
    </row>
    <row r="162" spans="8:14">
      <c r="H162" s="5"/>
      <c r="J162" s="6"/>
      <c r="N162" s="4"/>
    </row>
    <row r="163" spans="8:14">
      <c r="H163" s="5"/>
      <c r="J163" s="6"/>
      <c r="N163" s="4"/>
    </row>
    <row r="164" spans="8:14">
      <c r="H164" s="5"/>
      <c r="J164" s="6"/>
      <c r="N164" s="4"/>
    </row>
    <row r="165" spans="8:14">
      <c r="H165" s="5"/>
      <c r="J165" s="6"/>
      <c r="N165" s="4"/>
    </row>
    <row r="166" spans="8:14">
      <c r="H166" s="5"/>
      <c r="J166" s="6"/>
      <c r="N166" s="4"/>
    </row>
    <row r="167" spans="8:14">
      <c r="H167" s="5"/>
      <c r="J167" s="6"/>
      <c r="N167" s="4"/>
    </row>
    <row r="168" spans="8:14">
      <c r="H168" s="5"/>
      <c r="J168" s="6"/>
      <c r="N168" s="4"/>
    </row>
    <row r="169" spans="8:14">
      <c r="H169" s="5"/>
      <c r="J169" s="6"/>
      <c r="N169" s="4"/>
    </row>
    <row r="170" spans="8:14">
      <c r="H170" s="5"/>
      <c r="J170" s="6"/>
      <c r="N170" s="4"/>
    </row>
    <row r="171" spans="8:14">
      <c r="H171" s="5"/>
      <c r="J171" s="6"/>
      <c r="N171" s="4"/>
    </row>
    <row r="172" spans="8:14">
      <c r="H172" s="5"/>
      <c r="J172" s="6"/>
      <c r="N172" s="4"/>
    </row>
    <row r="173" spans="8:14">
      <c r="H173" s="5"/>
      <c r="J173" s="6"/>
      <c r="N173" s="4"/>
    </row>
    <row r="174" spans="8:14">
      <c r="H174" s="5"/>
      <c r="J174" s="6"/>
      <c r="N174" s="4"/>
    </row>
    <row r="175" spans="8:14">
      <c r="H175" s="5"/>
      <c r="J175" s="6"/>
      <c r="N175" s="4"/>
    </row>
    <row r="176" spans="8:14">
      <c r="H176" s="5"/>
      <c r="J176" s="6"/>
      <c r="N176" s="4"/>
    </row>
    <row r="177" spans="8:14">
      <c r="H177" s="5"/>
      <c r="J177" s="6"/>
      <c r="N177" s="4"/>
    </row>
    <row r="178" spans="8:14">
      <c r="H178" s="5"/>
      <c r="J178" s="6"/>
      <c r="N178" s="4"/>
    </row>
    <row r="179" spans="8:14">
      <c r="H179" s="5"/>
      <c r="J179" s="6"/>
      <c r="N179" s="4"/>
    </row>
    <row r="180" spans="8:14">
      <c r="H180" s="5"/>
      <c r="J180" s="6"/>
      <c r="N180" s="4"/>
    </row>
    <row r="181" spans="8:14">
      <c r="H181" s="5"/>
      <c r="J181" s="6"/>
      <c r="N181" s="4"/>
    </row>
    <row r="182" spans="8:14">
      <c r="H182" s="5"/>
      <c r="J182" s="6"/>
      <c r="N182" s="4"/>
    </row>
    <row r="183" spans="8:14">
      <c r="H183" s="5"/>
      <c r="J183" s="6"/>
      <c r="N183" s="4"/>
    </row>
    <row r="184" spans="8:14">
      <c r="H184" s="5"/>
      <c r="J184" s="6"/>
      <c r="N184" s="4"/>
    </row>
    <row r="185" spans="8:14">
      <c r="H185" s="5"/>
      <c r="J185" s="6"/>
      <c r="N185" s="4"/>
    </row>
    <row r="186" spans="8:14">
      <c r="H186" s="5"/>
      <c r="J186" s="6"/>
      <c r="N186" s="4"/>
    </row>
    <row r="187" spans="8:14">
      <c r="H187" s="5"/>
      <c r="J187" s="6"/>
      <c r="N187" s="4"/>
    </row>
    <row r="188" spans="8:14">
      <c r="H188" s="5"/>
      <c r="J188" s="6"/>
      <c r="N188" s="4"/>
    </row>
    <row r="189" spans="8:14">
      <c r="H189" s="5"/>
      <c r="J189" s="6"/>
      <c r="N189" s="4"/>
    </row>
    <row r="190" spans="8:14">
      <c r="H190" s="5"/>
      <c r="J190" s="6"/>
      <c r="N190" s="4"/>
    </row>
    <row r="191" spans="8:14">
      <c r="H191" s="5"/>
      <c r="J191" s="6"/>
      <c r="N191" s="4"/>
    </row>
    <row r="192" spans="8:14">
      <c r="H192" s="5"/>
      <c r="J192" s="6"/>
      <c r="N192" s="4"/>
    </row>
    <row r="193" spans="8:14">
      <c r="H193" s="5"/>
      <c r="J193" s="6"/>
      <c r="N193" s="4"/>
    </row>
    <row r="194" spans="8:14">
      <c r="H194" s="5"/>
      <c r="J194" s="6"/>
      <c r="N194" s="4"/>
    </row>
    <row r="195" spans="8:14">
      <c r="H195" s="5"/>
      <c r="J195" s="6"/>
      <c r="N195" s="4"/>
    </row>
    <row r="196" spans="8:14">
      <c r="H196" s="5"/>
      <c r="J196" s="6"/>
      <c r="N196" s="4"/>
    </row>
    <row r="197" spans="8:14">
      <c r="H197" s="5"/>
      <c r="J197" s="6"/>
      <c r="N197" s="4"/>
    </row>
    <row r="198" spans="8:14">
      <c r="H198" s="5"/>
      <c r="J198" s="6"/>
      <c r="N198" s="4"/>
    </row>
    <row r="199" spans="8:14">
      <c r="H199" s="5"/>
      <c r="J199" s="6"/>
      <c r="N199" s="4"/>
    </row>
    <row r="200" spans="8:14">
      <c r="H200" s="5"/>
      <c r="J200" s="6"/>
      <c r="N200" s="4"/>
    </row>
    <row r="201" spans="8:14">
      <c r="H201" s="5"/>
      <c r="J201" s="6"/>
      <c r="N201" s="4"/>
    </row>
    <row r="202" spans="8:14">
      <c r="H202" s="5"/>
      <c r="J202" s="6"/>
      <c r="N202" s="4"/>
    </row>
    <row r="203" spans="8:14">
      <c r="H203" s="5"/>
      <c r="J203" s="6"/>
      <c r="N203" s="4"/>
    </row>
    <row r="204" spans="8:14">
      <c r="H204" s="5"/>
      <c r="J204" s="6"/>
      <c r="N204" s="4"/>
    </row>
    <row r="205" spans="8:14">
      <c r="H205" s="5"/>
      <c r="J205" s="6"/>
      <c r="N205" s="4"/>
    </row>
    <row r="206" spans="8:14">
      <c r="H206" s="5"/>
      <c r="J206" s="6"/>
      <c r="N206" s="4"/>
    </row>
    <row r="207" spans="8:14">
      <c r="H207" s="5"/>
      <c r="J207" s="6"/>
      <c r="N207" s="4"/>
    </row>
    <row r="208" spans="8:14">
      <c r="H208" s="5"/>
      <c r="J208" s="6"/>
      <c r="N208" s="4"/>
    </row>
    <row r="209" spans="8:14">
      <c r="H209" s="5"/>
      <c r="J209" s="6"/>
      <c r="N209" s="4"/>
    </row>
    <row r="210" spans="8:14">
      <c r="H210" s="5"/>
      <c r="J210" s="6"/>
      <c r="N210" s="4"/>
    </row>
    <row r="211" spans="8:14">
      <c r="H211" s="5"/>
      <c r="J211" s="6"/>
      <c r="N211" s="4"/>
    </row>
    <row r="212" spans="8:14">
      <c r="H212" s="5"/>
      <c r="J212" s="6"/>
      <c r="N212" s="4"/>
    </row>
    <row r="213" spans="8:14">
      <c r="H213" s="5"/>
      <c r="J213" s="6"/>
      <c r="N213" s="4"/>
    </row>
    <row r="214" spans="8:14">
      <c r="H214" s="5"/>
      <c r="J214" s="6"/>
      <c r="N214" s="4"/>
    </row>
    <row r="215" spans="8:14">
      <c r="H215" s="5"/>
      <c r="J215" s="6"/>
      <c r="N215" s="4"/>
    </row>
    <row r="216" spans="8:14">
      <c r="H216" s="5"/>
      <c r="J216" s="6"/>
      <c r="N216" s="4"/>
    </row>
    <row r="217" spans="8:14">
      <c r="H217" s="5"/>
      <c r="J217" s="6"/>
      <c r="N217" s="4"/>
    </row>
    <row r="218" spans="8:14">
      <c r="H218" s="5"/>
      <c r="J218" s="6"/>
      <c r="N218" s="4"/>
    </row>
    <row r="219" spans="8:14">
      <c r="H219" s="5"/>
      <c r="J219" s="6"/>
      <c r="N219" s="4"/>
    </row>
    <row r="220" spans="8:14">
      <c r="H220" s="5"/>
      <c r="J220" s="6"/>
      <c r="N220" s="4"/>
    </row>
    <row r="221" spans="8:14">
      <c r="H221" s="5"/>
      <c r="J221" s="6"/>
      <c r="N221" s="4"/>
    </row>
    <row r="222" spans="8:14">
      <c r="H222" s="5"/>
      <c r="J222" s="6"/>
      <c r="N222" s="4"/>
    </row>
    <row r="223" spans="8:14">
      <c r="H223" s="5"/>
      <c r="J223" s="6"/>
      <c r="N223" s="4"/>
    </row>
    <row r="224" spans="8:14">
      <c r="H224" s="5"/>
      <c r="J224" s="6"/>
      <c r="N224" s="4"/>
    </row>
    <row r="225" spans="8:14">
      <c r="H225" s="5"/>
      <c r="J225" s="6"/>
      <c r="N225" s="4"/>
    </row>
    <row r="226" spans="8:14">
      <c r="H226" s="5"/>
      <c r="J226" s="6"/>
      <c r="N226" s="4"/>
    </row>
    <row r="227" spans="8:14">
      <c r="H227" s="5"/>
      <c r="J227" s="6"/>
      <c r="N227" s="4"/>
    </row>
    <row r="228" spans="8:14">
      <c r="H228" s="5"/>
      <c r="J228" s="6"/>
      <c r="N228" s="4"/>
    </row>
    <row r="229" spans="8:14">
      <c r="H229" s="5"/>
      <c r="J229" s="6"/>
      <c r="N229" s="4"/>
    </row>
    <row r="230" spans="8:14">
      <c r="H230" s="5"/>
      <c r="J230" s="6"/>
      <c r="N230" s="4"/>
    </row>
    <row r="231" spans="8:14">
      <c r="H231" s="5"/>
      <c r="J231" s="6"/>
      <c r="N231" s="4"/>
    </row>
    <row r="232" spans="8:14">
      <c r="H232" s="5"/>
      <c r="J232" s="6"/>
      <c r="N232" s="4"/>
    </row>
    <row r="233" spans="8:14">
      <c r="H233" s="5"/>
      <c r="J233" s="6"/>
      <c r="N233" s="4"/>
    </row>
    <row r="234" spans="8:14">
      <c r="H234" s="5"/>
      <c r="J234" s="6"/>
      <c r="N234" s="4"/>
    </row>
    <row r="235" spans="8:14">
      <c r="H235" s="5"/>
      <c r="J235" s="6"/>
      <c r="N235" s="4"/>
    </row>
    <row r="236" spans="8:14">
      <c r="H236" s="5"/>
      <c r="J236" s="6"/>
      <c r="N236" s="4"/>
    </row>
    <row r="237" spans="8:14">
      <c r="H237" s="5"/>
      <c r="J237" s="6"/>
      <c r="N237" s="4"/>
    </row>
    <row r="238" spans="8:14">
      <c r="H238" s="5"/>
      <c r="J238" s="6"/>
      <c r="N238" s="4"/>
    </row>
    <row r="239" spans="8:14">
      <c r="H239" s="5"/>
      <c r="J239" s="6"/>
      <c r="N239" s="4"/>
    </row>
    <row r="240" spans="8:14">
      <c r="H240" s="5"/>
      <c r="J240" s="6"/>
      <c r="N240" s="4"/>
    </row>
    <row r="241" spans="8:14">
      <c r="H241" s="5"/>
      <c r="J241" s="6"/>
      <c r="N241" s="4"/>
    </row>
    <row r="242" spans="8:14">
      <c r="H242" s="5"/>
      <c r="J242" s="6"/>
      <c r="N242" s="4"/>
    </row>
    <row r="243" spans="8:14">
      <c r="H243" s="5"/>
      <c r="J243" s="6"/>
      <c r="N243" s="4"/>
    </row>
    <row r="244" spans="8:14">
      <c r="H244" s="5"/>
      <c r="J244" s="6"/>
      <c r="N244" s="4"/>
    </row>
    <row r="245" spans="8:14">
      <c r="H245" s="5"/>
      <c r="J245" s="6"/>
      <c r="N245" s="4"/>
    </row>
    <row r="246" spans="8:14">
      <c r="H246" s="5"/>
      <c r="J246" s="6"/>
      <c r="N246" s="4"/>
    </row>
    <row r="247" spans="8:14">
      <c r="H247" s="5"/>
      <c r="J247" s="6"/>
      <c r="N247" s="4"/>
    </row>
    <row r="248" spans="8:14">
      <c r="H248" s="5"/>
      <c r="J248" s="6"/>
      <c r="N248" s="4"/>
    </row>
    <row r="249" spans="8:14">
      <c r="H249" s="5"/>
      <c r="J249" s="6"/>
      <c r="N249" s="4"/>
    </row>
    <row r="250" spans="8:14">
      <c r="H250" s="5"/>
      <c r="J250" s="6"/>
      <c r="N250" s="4"/>
    </row>
    <row r="251" spans="8:14">
      <c r="H251" s="5"/>
      <c r="J251" s="6"/>
      <c r="N251" s="4"/>
    </row>
    <row r="252" spans="8:14">
      <c r="H252" s="5"/>
      <c r="J252" s="6"/>
      <c r="N252" s="4"/>
    </row>
    <row r="253" spans="8:14">
      <c r="H253" s="5"/>
      <c r="J253" s="6"/>
      <c r="N253" s="4"/>
    </row>
    <row r="254" spans="8:14">
      <c r="H254" s="5"/>
      <c r="J254" s="6"/>
      <c r="N254" s="4"/>
    </row>
    <row r="255" spans="8:14">
      <c r="H255" s="5"/>
      <c r="J255" s="6"/>
      <c r="N255" s="4"/>
    </row>
    <row r="256" spans="8:14">
      <c r="H256" s="5"/>
      <c r="J256" s="6"/>
      <c r="N256" s="4"/>
    </row>
    <row r="257" spans="8:14">
      <c r="H257" s="5"/>
      <c r="J257" s="6"/>
      <c r="N257" s="4"/>
    </row>
    <row r="258" spans="8:14">
      <c r="H258" s="5"/>
      <c r="J258" s="6"/>
      <c r="N258" s="4"/>
    </row>
    <row r="259" spans="8:14">
      <c r="H259" s="5"/>
      <c r="J259" s="6"/>
      <c r="N259" s="4"/>
    </row>
    <row r="260" spans="8:14">
      <c r="H260" s="5"/>
      <c r="J260" s="6"/>
      <c r="N260" s="4"/>
    </row>
    <row r="261" spans="8:14">
      <c r="H261" s="5"/>
      <c r="J261" s="6"/>
      <c r="N261" s="4"/>
    </row>
    <row r="262" spans="8:14">
      <c r="H262" s="5"/>
      <c r="J262" s="6"/>
      <c r="N262" s="4"/>
    </row>
    <row r="263" spans="8:14">
      <c r="H263" s="5"/>
      <c r="J263" s="6"/>
      <c r="N263" s="4"/>
    </row>
    <row r="264" spans="8:14">
      <c r="H264" s="5"/>
      <c r="J264" s="6"/>
      <c r="N264" s="4"/>
    </row>
    <row r="265" spans="8:14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opLeftCell="A5" workbookViewId="0">
      <selection activeCell="F276" sqref="F276"/>
    </sheetView>
  </sheetViews>
  <sheetFormatPr defaultRowHeight="14.4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>
      <c r="A1" s="1"/>
      <c r="C1" s="3" t="s">
        <v>739</v>
      </c>
    </row>
    <row r="7" spans="1:15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hidden="1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hidden="1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hidden="1">
      <c r="C10" t="s">
        <v>608</v>
      </c>
      <c r="D10" t="s">
        <v>283</v>
      </c>
      <c r="E10" t="s">
        <v>284</v>
      </c>
      <c r="F10" t="s">
        <v>24</v>
      </c>
      <c r="G10" t="s">
        <v>25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hidden="1">
      <c r="C11" t="s">
        <v>608</v>
      </c>
      <c r="D11" t="s">
        <v>283</v>
      </c>
      <c r="E11" t="s">
        <v>284</v>
      </c>
      <c r="F11" t="s">
        <v>24</v>
      </c>
      <c r="G11" t="s">
        <v>25</v>
      </c>
      <c r="H11" s="5">
        <v>80695.740000000005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hidden="1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hidden="1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hidden="1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hidden="1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hidden="1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hidden="1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hidden="1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hidden="1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hidden="1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hidden="1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hidden="1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hidden="1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hidden="1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hidden="1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hidden="1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hidden="1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hidden="1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hidden="1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hidden="1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hidden="1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hidden="1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hidden="1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hidden="1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hidden="1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hidden="1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hidden="1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hidden="1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hidden="1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hidden="1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hidden="1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hidden="1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hidden="1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hidden="1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hidden="1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hidden="1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hidden="1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hidden="1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hidden="1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hidden="1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hidden="1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hidden="1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hidden="1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hidden="1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hidden="1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hidden="1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hidden="1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hidden="1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hidden="1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hidden="1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hidden="1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hidden="1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hidden="1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hidden="1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hidden="1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hidden="1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hidden="1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hidden="1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hidden="1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hidden="1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hidden="1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hidden="1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hidden="1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hidden="1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hidden="1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hidden="1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hidden="1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hidden="1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hidden="1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hidden="1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hidden="1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hidden="1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hidden="1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hidden="1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hidden="1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hidden="1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hidden="1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hidden="1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hidden="1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hidden="1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hidden="1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hidden="1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hidden="1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hidden="1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hidden="1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hidden="1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hidden="1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hidden="1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hidden="1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hidden="1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hidden="1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hidden="1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hidden="1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hidden="1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hidden="1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hidden="1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hidden="1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hidden="1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hidden="1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hidden="1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hidden="1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hidden="1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hidden="1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hidden="1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hidden="1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hidden="1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hidden="1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hidden="1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hidden="1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hidden="1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hidden="1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hidden="1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hidden="1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hidden="1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hidden="1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hidden="1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hidden="1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hidden="1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hidden="1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hidden="1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hidden="1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hidden="1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hidden="1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hidden="1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hidden="1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hidden="1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hidden="1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hidden="1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hidden="1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hidden="1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hidden="1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hidden="1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hidden="1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hidden="1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hidden="1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hidden="1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hidden="1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hidden="1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hidden="1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hidden="1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hidden="1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hidden="1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hidden="1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hidden="1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hidden="1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hidden="1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hidden="1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hidden="1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hidden="1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hidden="1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hidden="1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hidden="1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hidden="1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hidden="1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hidden="1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hidden="1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hidden="1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hidden="1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hidden="1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hidden="1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hidden="1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hidden="1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hidden="1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hidden="1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hidden="1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hidden="1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hidden="1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hidden="1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hidden="1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hidden="1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hidden="1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hidden="1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hidden="1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hidden="1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hidden="1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hidden="1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hidden="1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hidden="1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hidden="1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hidden="1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hidden="1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hidden="1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hidden="1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hidden="1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hidden="1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hidden="1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hidden="1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hidden="1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hidden="1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hidden="1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hidden="1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hidden="1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hidden="1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hidden="1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hidden="1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hidden="1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hidden="1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hidden="1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hidden="1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hidden="1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hidden="1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hidden="1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hidden="1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hidden="1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hidden="1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hidden="1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hidden="1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hidden="1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hidden="1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hidden="1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hidden="1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hidden="1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hidden="1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hidden="1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hidden="1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hidden="1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hidden="1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hidden="1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hidden="1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hidden="1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hidden="1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hidden="1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hidden="1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hidden="1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hidden="1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hidden="1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hidden="1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hidden="1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hidden="1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hidden="1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hidden="1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hidden="1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hidden="1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hidden="1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hidden="1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hidden="1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hidden="1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hidden="1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hidden="1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hidden="1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hidden="1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hidden="1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hidden="1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hidden="1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hidden="1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hidden="1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hidden="1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hidden="1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hidden="1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AB91-9B7A-4E90-B667-24217E8EC446}">
  <dimension ref="A1:T277"/>
  <sheetViews>
    <sheetView tabSelected="1" topLeftCell="A234" workbookViewId="0">
      <selection activeCell="H254" sqref="H254"/>
    </sheetView>
  </sheetViews>
  <sheetFormatPr defaultRowHeight="14.4"/>
  <cols>
    <col min="1" max="1" width="24.33203125" customWidth="1"/>
    <col min="2" max="2" width="14.88671875" customWidth="1"/>
    <col min="3" max="3" width="13.6640625" bestFit="1" customWidth="1"/>
    <col min="4" max="4" width="19.109375" customWidth="1"/>
    <col min="5" max="5" width="12.44140625" customWidth="1"/>
    <col min="6" max="6" width="17.21875" customWidth="1"/>
    <col min="7" max="7" width="20.44140625" bestFit="1" customWidth="1"/>
    <col min="8" max="8" width="20.5546875" bestFit="1" customWidth="1"/>
    <col min="9" max="9" width="12.33203125" customWidth="1"/>
    <col min="10" max="10" width="11.44140625" customWidth="1"/>
    <col min="11" max="11" width="13.6640625" bestFit="1" customWidth="1"/>
    <col min="12" max="12" width="21.5546875" bestFit="1" customWidth="1"/>
    <col min="13" max="13" width="12" bestFit="1" customWidth="1"/>
    <col min="14" max="14" width="14.5546875" bestFit="1" customWidth="1"/>
  </cols>
  <sheetData>
    <row r="1" spans="1:18" ht="28.8">
      <c r="A1" s="52" t="s">
        <v>773</v>
      </c>
      <c r="B1" s="52"/>
      <c r="C1" s="52"/>
      <c r="D1" s="52"/>
      <c r="E1" s="52"/>
      <c r="F1" s="52"/>
      <c r="G1" s="52"/>
      <c r="H1" s="52"/>
      <c r="I1" s="52"/>
      <c r="J1" s="28"/>
      <c r="K1" s="28"/>
      <c r="L1" s="28"/>
      <c r="M1" s="28"/>
      <c r="N1" s="28"/>
      <c r="O1" s="28"/>
      <c r="P1" s="28"/>
      <c r="Q1" s="28"/>
      <c r="R1" s="28"/>
    </row>
    <row r="2" spans="1:18">
      <c r="A2" s="26" t="s">
        <v>4</v>
      </c>
      <c r="B2" s="26" t="s">
        <v>768</v>
      </c>
      <c r="C2" s="26" t="s">
        <v>5</v>
      </c>
      <c r="D2" s="26" t="s">
        <v>769</v>
      </c>
      <c r="E2" s="26"/>
      <c r="F2" s="26" t="s">
        <v>770</v>
      </c>
      <c r="G2" s="26" t="s">
        <v>771</v>
      </c>
      <c r="H2" s="26" t="s">
        <v>772</v>
      </c>
    </row>
    <row r="3" spans="1:18">
      <c r="A3" t="s">
        <v>36</v>
      </c>
      <c r="B3">
        <f>COUNTIF(staff[Department],A3)</f>
        <v>24</v>
      </c>
      <c r="C3" s="27" cm="1">
        <f t="array" ref="C3:C14">SUMIFS(staff[Salary],staff[Department],A3:A14)</f>
        <v>2013215.1600000001</v>
      </c>
      <c r="D3" s="27">
        <f>AVERAGEIFS(staff[Salary],staff[Department],A3)</f>
        <v>83883.965000000011</v>
      </c>
      <c r="E3" s="27"/>
      <c r="F3">
        <f>COUNTIFS(staff[Employee type],"Permanent",staff[Department],A3)</f>
        <v>11</v>
      </c>
      <c r="G3" cm="1">
        <f t="array" ref="G3:G14">COUNTIFS(staff[Employee type],"Temporary",staff[Department],A3:A14)</f>
        <v>7</v>
      </c>
      <c r="H3" cm="1">
        <f t="array" ref="H3:H14">COUNTIFS(staff[Employee type],"Fixed Term",staff[Department],A3:A14)</f>
        <v>6</v>
      </c>
    </row>
    <row r="4" spans="1:18">
      <c r="A4" t="s">
        <v>25</v>
      </c>
      <c r="B4">
        <f>COUNTIF(staff[Department],A4)</f>
        <v>26</v>
      </c>
      <c r="C4" s="27">
        <v>2074326.9500000002</v>
      </c>
      <c r="D4" s="27">
        <f>AVERAGEIFS(staff[Salary],staff[Department],A4)</f>
        <v>79781.805769230778</v>
      </c>
      <c r="E4" s="27"/>
      <c r="F4">
        <f>COUNTIFS(staff[Employee type],"Permanent",staff[Department],A4)</f>
        <v>18</v>
      </c>
      <c r="G4">
        <v>4</v>
      </c>
      <c r="H4">
        <v>4</v>
      </c>
    </row>
    <row r="5" spans="1:18">
      <c r="A5" t="s">
        <v>16</v>
      </c>
      <c r="B5">
        <f>COUNTIF(staff[Department],A5)</f>
        <v>26</v>
      </c>
      <c r="C5" s="27">
        <v>2131387.4899999998</v>
      </c>
      <c r="D5" s="27">
        <f>AVERAGEIFS(staff[Salary],staff[Department],A5)</f>
        <v>81976.441923076913</v>
      </c>
      <c r="E5" s="27"/>
      <c r="F5">
        <f>COUNTIFS(staff[Employee type],"Permanent",staff[Department],A5)</f>
        <v>16</v>
      </c>
      <c r="G5">
        <v>5</v>
      </c>
      <c r="H5">
        <v>5</v>
      </c>
    </row>
    <row r="6" spans="1:18">
      <c r="A6" t="s">
        <v>54</v>
      </c>
      <c r="B6">
        <f>COUNTIF(staff[Department],A6)</f>
        <v>12</v>
      </c>
      <c r="C6" s="27">
        <v>773295.6</v>
      </c>
      <c r="D6" s="27">
        <f>AVERAGEIFS(staff[Salary],staff[Department],A6)</f>
        <v>64441.299999999996</v>
      </c>
      <c r="E6" s="27"/>
      <c r="F6">
        <f>COUNTIFS(staff[Employee type],"Permanent",staff[Department],A6)</f>
        <v>9</v>
      </c>
      <c r="G6">
        <v>1</v>
      </c>
      <c r="H6">
        <v>2</v>
      </c>
    </row>
    <row r="7" spans="1:18">
      <c r="A7" t="s">
        <v>131</v>
      </c>
      <c r="B7">
        <f>COUNTIF(staff[Department],A7)</f>
        <v>21</v>
      </c>
      <c r="C7" s="27">
        <v>1412092.87</v>
      </c>
      <c r="D7" s="27">
        <f>AVERAGEIFS(staff[Salary],staff[Department],A7)</f>
        <v>67242.51761904762</v>
      </c>
      <c r="E7" s="27"/>
      <c r="F7">
        <f>COUNTIFS(staff[Employee type],"Permanent",staff[Department],A7)</f>
        <v>13</v>
      </c>
      <c r="G7">
        <v>5</v>
      </c>
      <c r="H7">
        <v>3</v>
      </c>
    </row>
    <row r="8" spans="1:18">
      <c r="A8" t="s">
        <v>101</v>
      </c>
      <c r="B8">
        <f>COUNTIF(staff[Department],A8)</f>
        <v>26</v>
      </c>
      <c r="C8" s="27">
        <v>1814980.59</v>
      </c>
      <c r="D8" s="27">
        <f>AVERAGEIFS(staff[Salary],staff[Department],A8)</f>
        <v>69806.945769230777</v>
      </c>
      <c r="E8" s="27"/>
      <c r="F8">
        <f>COUNTIFS(staff[Employee type],"Permanent",staff[Department],A8)</f>
        <v>18</v>
      </c>
      <c r="G8">
        <v>4</v>
      </c>
      <c r="H8">
        <v>4</v>
      </c>
    </row>
    <row r="9" spans="1:18">
      <c r="A9" t="s">
        <v>97</v>
      </c>
      <c r="B9">
        <f>COUNTIF(staff[Department],A9)</f>
        <v>22</v>
      </c>
      <c r="C9" s="27">
        <v>1608406.3100000003</v>
      </c>
      <c r="D9" s="27">
        <f>AVERAGEIFS(staff[Salary],staff[Department],A9)</f>
        <v>73109.377727272746</v>
      </c>
      <c r="E9" s="27"/>
      <c r="F9">
        <f>COUNTIFS(staff[Employee type],"Permanent",staff[Department],A9)</f>
        <v>13</v>
      </c>
      <c r="G9">
        <v>3</v>
      </c>
      <c r="H9">
        <v>6</v>
      </c>
    </row>
    <row r="10" spans="1:18">
      <c r="A10" t="s">
        <v>58</v>
      </c>
      <c r="B10">
        <f>COUNTIF(staff[Department],A10)</f>
        <v>18</v>
      </c>
      <c r="C10" s="27">
        <v>1204393.78</v>
      </c>
      <c r="D10" s="27">
        <f>AVERAGEIFS(staff[Salary],staff[Department],A10)</f>
        <v>66910.765555555554</v>
      </c>
      <c r="E10" s="27"/>
      <c r="F10">
        <f>COUNTIFS(staff[Employee type],"Permanent",staff[Department],A10)</f>
        <v>11</v>
      </c>
      <c r="G10">
        <v>3</v>
      </c>
      <c r="H10">
        <v>4</v>
      </c>
    </row>
    <row r="11" spans="1:18">
      <c r="A11" t="s">
        <v>32</v>
      </c>
      <c r="B11">
        <f>COUNTIF(staff[Department],A11)</f>
        <v>21</v>
      </c>
      <c r="C11" s="27">
        <v>1568153.47</v>
      </c>
      <c r="D11" s="27">
        <f>AVERAGEIFS(staff[Salary],staff[Department],A11)</f>
        <v>74673.974761904756</v>
      </c>
      <c r="E11" s="27"/>
      <c r="F11">
        <f>COUNTIFS(staff[Employee type],"Permanent",staff[Department],A11)</f>
        <v>16</v>
      </c>
      <c r="G11">
        <v>2</v>
      </c>
      <c r="H11">
        <v>3</v>
      </c>
    </row>
    <row r="12" spans="1:18">
      <c r="A12" t="s">
        <v>124</v>
      </c>
      <c r="B12">
        <f>COUNTIF(staff[Department],A12)</f>
        <v>29</v>
      </c>
      <c r="C12" s="27">
        <v>2180192.8699999992</v>
      </c>
      <c r="D12" s="27">
        <f>AVERAGEIFS(staff[Salary],staff[Department],A12)</f>
        <v>75179.064482758593</v>
      </c>
      <c r="E12" s="27"/>
      <c r="F12">
        <f>COUNTIFS(staff[Employee type],"Permanent",staff[Department],A12)</f>
        <v>19</v>
      </c>
      <c r="G12">
        <v>3</v>
      </c>
      <c r="H12">
        <v>7</v>
      </c>
    </row>
    <row r="13" spans="1:18">
      <c r="A13" t="s">
        <v>50</v>
      </c>
      <c r="B13">
        <f>COUNTIF(staff[Department],A13)</f>
        <v>17</v>
      </c>
      <c r="C13" s="27">
        <v>1129351.75</v>
      </c>
      <c r="D13" s="27">
        <f>AVERAGEIFS(staff[Salary],staff[Department],A13)</f>
        <v>66432.455882352937</v>
      </c>
      <c r="E13" s="27"/>
      <c r="F13">
        <f>COUNTIFS(staff[Employee type],"Permanent",staff[Department],A13)</f>
        <v>11</v>
      </c>
      <c r="G13">
        <v>3</v>
      </c>
      <c r="H13">
        <v>3</v>
      </c>
    </row>
    <row r="14" spans="1:18">
      <c r="A14" t="s">
        <v>105</v>
      </c>
      <c r="B14">
        <f>COUNTIF(staff[Department],A14)</f>
        <v>18</v>
      </c>
      <c r="C14" s="27">
        <v>1294147.72</v>
      </c>
      <c r="D14" s="27">
        <f>AVERAGEIFS(staff[Salary],staff[Department],A14)</f>
        <v>71897.095555555556</v>
      </c>
      <c r="E14" s="27"/>
      <c r="F14">
        <f>COUNTIFS(staff[Employee type],"Permanent",staff[Department],A14)</f>
        <v>13</v>
      </c>
      <c r="G14">
        <v>2</v>
      </c>
      <c r="H14">
        <v>3</v>
      </c>
    </row>
    <row r="16" spans="1:18" ht="28.8">
      <c r="A16" s="51" t="s">
        <v>774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5" ht="14.4" customHeight="1">
      <c r="A17" s="30" t="str" cm="1">
        <f t="array" ref="A17:M17">staff[#Headers]</f>
        <v>Emp ID</v>
      </c>
      <c r="B17" s="30" t="str">
        <v>First Name</v>
      </c>
      <c r="C17" s="30" t="str">
        <v>Last Name</v>
      </c>
      <c r="D17" s="30" t="str">
        <v>Gender</v>
      </c>
      <c r="E17" s="30" t="str">
        <v>Department</v>
      </c>
      <c r="F17" s="30" t="str">
        <v>Salary</v>
      </c>
      <c r="G17" s="30" t="str">
        <v>Salary Bucket</v>
      </c>
      <c r="H17" s="30" t="str">
        <v>Start Date</v>
      </c>
      <c r="I17" s="30" t="str">
        <v>FTE</v>
      </c>
      <c r="J17" s="30" t="str">
        <v>Employee type</v>
      </c>
      <c r="K17" s="30" t="str">
        <v>Work location</v>
      </c>
      <c r="L17" s="30" t="str">
        <v>Tenure</v>
      </c>
      <c r="M17" s="30" t="str">
        <v>Work Type</v>
      </c>
      <c r="N17" s="30"/>
      <c r="O17" s="31"/>
    </row>
    <row r="18" spans="1:15">
      <c r="A18" t="str" cm="1">
        <f t="array" ref="A18:M64">_xlfn._xlws.FILTER(staff[],staff[Salary]&gt;=100000)</f>
        <v>PR00147</v>
      </c>
      <c r="B18" t="str">
        <v>Minerva</v>
      </c>
      <c r="C18" t="str">
        <v>Ricardot</v>
      </c>
      <c r="D18" t="str">
        <v>Male</v>
      </c>
      <c r="E18" t="str">
        <v>Engineering</v>
      </c>
      <c r="F18">
        <v>120000</v>
      </c>
      <c r="G18" t="str">
        <v>Above 100k</v>
      </c>
      <c r="H18">
        <v>43416</v>
      </c>
      <c r="I18" s="29">
        <v>1</v>
      </c>
      <c r="J18" t="str">
        <v>Permanent</v>
      </c>
      <c r="K18" t="str">
        <v>Remote</v>
      </c>
      <c r="L18">
        <v>5.6109589041095891</v>
      </c>
      <c r="M18" t="str">
        <v>Full time</v>
      </c>
    </row>
    <row r="19" spans="1:15">
      <c r="A19" t="str">
        <v>PR00746</v>
      </c>
      <c r="B19" t="str">
        <v>Hogan</v>
      </c>
      <c r="C19" t="str">
        <v>Iles</v>
      </c>
      <c r="D19" t="str">
        <v>Female</v>
      </c>
      <c r="E19" t="str">
        <v>Accounting</v>
      </c>
      <c r="F19">
        <v>114177.23</v>
      </c>
      <c r="G19" t="str">
        <v>Above 100k</v>
      </c>
      <c r="H19">
        <v>43908</v>
      </c>
      <c r="I19" s="29">
        <v>1</v>
      </c>
      <c r="J19" t="str">
        <v>Permanent</v>
      </c>
      <c r="K19" t="str">
        <v>Wellington, New Zealand</v>
      </c>
      <c r="L19">
        <v>4.2630136986301368</v>
      </c>
      <c r="M19" t="str">
        <v>Full time</v>
      </c>
    </row>
    <row r="20" spans="1:15">
      <c r="A20" t="str">
        <v>PR01159</v>
      </c>
      <c r="B20" t="str">
        <v>Mollie</v>
      </c>
      <c r="C20" t="str">
        <v>Hanway</v>
      </c>
      <c r="D20" t="str">
        <v>Male</v>
      </c>
      <c r="E20" t="str">
        <v>Engineering</v>
      </c>
      <c r="F20">
        <v>112645.99</v>
      </c>
      <c r="G20" t="str">
        <v>Above 100k</v>
      </c>
      <c r="H20">
        <v>43759</v>
      </c>
      <c r="I20" s="29">
        <v>0.6</v>
      </c>
      <c r="J20" t="str">
        <v>Permanent</v>
      </c>
      <c r="K20" t="str">
        <v>Seattle, USA</v>
      </c>
      <c r="L20">
        <v>4.6712328767123283</v>
      </c>
      <c r="M20" t="str">
        <v>Part time</v>
      </c>
    </row>
    <row r="21" spans="1:15">
      <c r="A21" t="str">
        <v>PR02010</v>
      </c>
      <c r="B21" t="str">
        <v>Prerana</v>
      </c>
      <c r="C21" t="str">
        <v>Nishita</v>
      </c>
      <c r="D21" t="str">
        <v>Male</v>
      </c>
      <c r="E21" t="str">
        <v>Product Management</v>
      </c>
      <c r="F21">
        <v>115191.38</v>
      </c>
      <c r="G21" t="str">
        <v>Above 100k</v>
      </c>
      <c r="H21">
        <v>44004</v>
      </c>
      <c r="I21" s="29">
        <v>1</v>
      </c>
      <c r="J21" t="str">
        <v>Permanent</v>
      </c>
      <c r="K21" t="str">
        <v>Hyderabad, India</v>
      </c>
      <c r="L21">
        <v>4</v>
      </c>
      <c r="M21" t="str">
        <v>Full time</v>
      </c>
    </row>
    <row r="22" spans="1:15">
      <c r="A22" t="str">
        <v>PR02208</v>
      </c>
      <c r="B22" t="str">
        <v>Gowri</v>
      </c>
      <c r="C22" t="str">
        <v>Sankar</v>
      </c>
      <c r="D22" t="str">
        <v>Female</v>
      </c>
      <c r="E22" t="str">
        <v>Training</v>
      </c>
      <c r="F22">
        <v>102934.09</v>
      </c>
      <c r="G22" t="str">
        <v>Above 100k</v>
      </c>
      <c r="H22">
        <v>44315</v>
      </c>
      <c r="I22" s="29">
        <v>1</v>
      </c>
      <c r="J22" t="str">
        <v>Permanent</v>
      </c>
      <c r="K22" t="str">
        <v>Hyderabad, India</v>
      </c>
      <c r="L22">
        <v>3.1479452054794521</v>
      </c>
      <c r="M22" t="str">
        <v>Full time</v>
      </c>
    </row>
    <row r="23" spans="1:15">
      <c r="A23" t="str">
        <v>PR02288</v>
      </c>
      <c r="B23" t="str">
        <v>Althea</v>
      </c>
      <c r="C23" t="str">
        <v>Bronger</v>
      </c>
      <c r="D23" t="str">
        <v>Male</v>
      </c>
      <c r="E23" t="str">
        <v>Product Management</v>
      </c>
      <c r="F23">
        <v>104335.03999999999</v>
      </c>
      <c r="G23" t="str">
        <v>Above 100k</v>
      </c>
      <c r="H23">
        <v>43874</v>
      </c>
      <c r="I23" s="29">
        <v>1</v>
      </c>
      <c r="J23" t="str">
        <v>Permanent</v>
      </c>
      <c r="K23" t="str">
        <v>Columbus, USA</v>
      </c>
      <c r="L23">
        <v>4.3561643835616435</v>
      </c>
      <c r="M23" t="str">
        <v>Full time</v>
      </c>
    </row>
    <row r="24" spans="1:15">
      <c r="A24" t="str">
        <v>PR03886</v>
      </c>
      <c r="B24" t="str">
        <v>Edd</v>
      </c>
      <c r="C24" t="str">
        <v>MacKnockiter</v>
      </c>
      <c r="D24" t="str">
        <v>Male</v>
      </c>
      <c r="E24" t="str">
        <v>Accounting</v>
      </c>
      <c r="F24">
        <v>119022.49</v>
      </c>
      <c r="G24" t="str">
        <v>Above 100k</v>
      </c>
      <c r="H24">
        <v>44431</v>
      </c>
      <c r="I24" s="29">
        <v>1</v>
      </c>
      <c r="J24" t="str">
        <v>Permanent</v>
      </c>
      <c r="K24" t="str">
        <v>Auckland, New Zealand</v>
      </c>
      <c r="L24">
        <v>2.8301369863013699</v>
      </c>
      <c r="M24" t="str">
        <v>Full time</v>
      </c>
    </row>
    <row r="25" spans="1:15">
      <c r="A25" t="str">
        <v>PR04601</v>
      </c>
      <c r="B25" t="str">
        <v>Yedukondalu</v>
      </c>
      <c r="C25" t="str">
        <v>Panditula</v>
      </c>
      <c r="D25" t="str">
        <v>Need to check</v>
      </c>
      <c r="E25" t="str">
        <v>Support</v>
      </c>
      <c r="F25">
        <v>104802.63</v>
      </c>
      <c r="G25" t="str">
        <v>Above 100k</v>
      </c>
      <c r="H25">
        <v>44502</v>
      </c>
      <c r="I25" s="29">
        <v>1</v>
      </c>
      <c r="J25" t="str">
        <v>Permanent</v>
      </c>
      <c r="K25" t="str">
        <v>Hyderabad, India</v>
      </c>
      <c r="L25">
        <v>2.6356164383561644</v>
      </c>
      <c r="M25" t="str">
        <v>Full time</v>
      </c>
    </row>
    <row r="26" spans="1:15">
      <c r="A26" t="str">
        <v>SQ00022</v>
      </c>
      <c r="B26" t="str">
        <v>Carlin</v>
      </c>
      <c r="C26" t="str">
        <v>Demke</v>
      </c>
      <c r="D26" t="str">
        <v>Male</v>
      </c>
      <c r="E26" t="str">
        <v>Business Development</v>
      </c>
      <c r="F26">
        <v>110042.37</v>
      </c>
      <c r="G26" t="str">
        <v>Above 100k</v>
      </c>
      <c r="H26">
        <v>43914</v>
      </c>
      <c r="I26" s="29">
        <v>1</v>
      </c>
      <c r="J26" t="str">
        <v>Permanent</v>
      </c>
      <c r="K26" t="str">
        <v>Columbus, USA</v>
      </c>
      <c r="L26">
        <v>4.2465753424657535</v>
      </c>
      <c r="M26" t="str">
        <v>Full time</v>
      </c>
    </row>
    <row r="27" spans="1:15">
      <c r="A27" t="str">
        <v>SQ00144</v>
      </c>
      <c r="B27" t="str">
        <v>Collen</v>
      </c>
      <c r="C27" t="str">
        <v>Dunbleton</v>
      </c>
      <c r="D27" t="str">
        <v>Male</v>
      </c>
      <c r="E27" t="str">
        <v>Engineering</v>
      </c>
      <c r="F27">
        <v>118976.16</v>
      </c>
      <c r="G27" t="str">
        <v>Above 100k</v>
      </c>
      <c r="H27">
        <v>44120</v>
      </c>
      <c r="I27" s="29">
        <v>1</v>
      </c>
      <c r="J27" t="str">
        <v>Permanent</v>
      </c>
      <c r="K27" t="str">
        <v>Wellington, New Zealand</v>
      </c>
      <c r="L27">
        <v>3.6821917808219178</v>
      </c>
      <c r="M27" t="str">
        <v>Full time</v>
      </c>
    </row>
    <row r="28" spans="1:15">
      <c r="A28" t="str">
        <v>SQ00498</v>
      </c>
      <c r="B28" t="str">
        <v>Amery</v>
      </c>
      <c r="C28" t="str">
        <v>Ofer</v>
      </c>
      <c r="D28" t="str">
        <v>Female</v>
      </c>
      <c r="E28" t="str">
        <v>Legal</v>
      </c>
      <c r="F28">
        <v>111049.84</v>
      </c>
      <c r="G28" t="str">
        <v>Above 100k</v>
      </c>
      <c r="H28">
        <v>44393</v>
      </c>
      <c r="I28" s="29">
        <v>1</v>
      </c>
      <c r="J28" t="str">
        <v>Permanent</v>
      </c>
      <c r="K28" t="str">
        <v>Wellington, New Zealand</v>
      </c>
      <c r="L28">
        <v>2.9342465753424656</v>
      </c>
      <c r="M28" t="str">
        <v>Full time</v>
      </c>
    </row>
    <row r="29" spans="1:15">
      <c r="A29" t="str">
        <v>SQ01620</v>
      </c>
      <c r="B29" t="str">
        <v>Westbrook</v>
      </c>
      <c r="C29" t="str">
        <v>Brandino</v>
      </c>
      <c r="D29" t="str">
        <v>Male</v>
      </c>
      <c r="E29" t="str">
        <v>Legal</v>
      </c>
      <c r="F29">
        <v>113616.23</v>
      </c>
      <c r="G29" t="str">
        <v>Above 100k</v>
      </c>
      <c r="H29">
        <v>43255</v>
      </c>
      <c r="I29" s="29">
        <v>1</v>
      </c>
      <c r="J29" t="str">
        <v>Permanent</v>
      </c>
      <c r="K29" t="str">
        <v>Remote</v>
      </c>
      <c r="L29">
        <v>6.0520547945205481</v>
      </c>
      <c r="M29" t="str">
        <v>Full time</v>
      </c>
    </row>
    <row r="30" spans="1:15">
      <c r="A30" t="str">
        <v>SQ02035</v>
      </c>
      <c r="B30" t="str">
        <v>Anni</v>
      </c>
      <c r="C30" t="str">
        <v>Izzard</v>
      </c>
      <c r="D30" t="str">
        <v>Male</v>
      </c>
      <c r="E30" t="str">
        <v>Human Resources</v>
      </c>
      <c r="F30">
        <v>103494.94</v>
      </c>
      <c r="G30" t="str">
        <v>Above 100k</v>
      </c>
      <c r="H30">
        <v>43256</v>
      </c>
      <c r="I30" s="29">
        <v>1</v>
      </c>
      <c r="J30" t="str">
        <v>Permanent</v>
      </c>
      <c r="K30" t="str">
        <v>Remote</v>
      </c>
      <c r="L30">
        <v>6.0493150684931507</v>
      </c>
      <c r="M30" t="str">
        <v>Full time</v>
      </c>
    </row>
    <row r="31" spans="1:15">
      <c r="A31" t="str">
        <v>SQ02035</v>
      </c>
      <c r="B31" t="str">
        <v>Anni</v>
      </c>
      <c r="C31" t="str">
        <v>Izzard</v>
      </c>
      <c r="D31" t="str">
        <v>Male</v>
      </c>
      <c r="E31" t="str">
        <v>Human Resources</v>
      </c>
      <c r="F31">
        <v>103494.94</v>
      </c>
      <c r="G31" t="str">
        <v>Above 100k</v>
      </c>
      <c r="H31">
        <v>43256</v>
      </c>
      <c r="I31" s="29">
        <v>1</v>
      </c>
      <c r="J31" t="str">
        <v>Permanent</v>
      </c>
      <c r="K31" t="str">
        <v>Remote</v>
      </c>
      <c r="L31">
        <v>6.0493150684931507</v>
      </c>
      <c r="M31" t="str">
        <v>Full time</v>
      </c>
    </row>
    <row r="32" spans="1:15">
      <c r="A32" t="str">
        <v>SQ02174</v>
      </c>
      <c r="B32" t="str">
        <v>Sidoney</v>
      </c>
      <c r="C32" t="str">
        <v>Yitzhok</v>
      </c>
      <c r="D32" t="str">
        <v>Female</v>
      </c>
      <c r="E32" t="str">
        <v>Engineering</v>
      </c>
      <c r="F32">
        <v>118442.54</v>
      </c>
      <c r="G32" t="str">
        <v>Above 100k</v>
      </c>
      <c r="H32">
        <v>44193</v>
      </c>
      <c r="I32" s="29">
        <v>1</v>
      </c>
      <c r="J32" t="str">
        <v>Permanent</v>
      </c>
      <c r="K32" t="str">
        <v>Auckland, New Zealand</v>
      </c>
      <c r="L32">
        <v>3.4821917808219176</v>
      </c>
      <c r="M32" t="str">
        <v>Full time</v>
      </c>
    </row>
    <row r="33" spans="1:13">
      <c r="A33" t="str">
        <v>SQ02624</v>
      </c>
      <c r="B33" t="str">
        <v>Gwenneth</v>
      </c>
      <c r="C33" t="str">
        <v>Fealey</v>
      </c>
      <c r="D33" t="str">
        <v>Female</v>
      </c>
      <c r="E33" t="str">
        <v>Engineering</v>
      </c>
      <c r="F33">
        <v>114772.32</v>
      </c>
      <c r="G33" t="str">
        <v>Above 100k</v>
      </c>
      <c r="H33">
        <v>44251</v>
      </c>
      <c r="I33" s="29">
        <v>1</v>
      </c>
      <c r="J33" t="str">
        <v>Permanent</v>
      </c>
      <c r="K33" t="str">
        <v>Columbus, USA</v>
      </c>
      <c r="L33">
        <v>3.3232876712328765</v>
      </c>
      <c r="M33" t="str">
        <v>Full time</v>
      </c>
    </row>
    <row r="34" spans="1:13">
      <c r="A34" t="str">
        <v>SQ02703</v>
      </c>
      <c r="B34" t="str">
        <v>Deepit</v>
      </c>
      <c r="C34" t="str">
        <v>Ranjana</v>
      </c>
      <c r="D34" t="str">
        <v>Female</v>
      </c>
      <c r="E34" t="str">
        <v>Marketing</v>
      </c>
      <c r="F34">
        <v>104903.79</v>
      </c>
      <c r="G34" t="str">
        <v>Above 100k</v>
      </c>
      <c r="H34">
        <v>43649</v>
      </c>
      <c r="I34" s="29">
        <v>1</v>
      </c>
      <c r="J34" t="str">
        <v>Permanent</v>
      </c>
      <c r="K34" t="str">
        <v>Chennai, India</v>
      </c>
      <c r="L34">
        <v>4.9726027397260273</v>
      </c>
      <c r="M34" t="str">
        <v>Full time</v>
      </c>
    </row>
    <row r="35" spans="1:13">
      <c r="A35" t="str">
        <v>SQ03116</v>
      </c>
      <c r="B35" t="str">
        <v>Syd</v>
      </c>
      <c r="C35" t="str">
        <v>Fearn</v>
      </c>
      <c r="D35" t="str">
        <v>Male</v>
      </c>
      <c r="E35" t="str">
        <v>Engineering</v>
      </c>
      <c r="F35">
        <v>108872.77</v>
      </c>
      <c r="G35" t="str">
        <v>Above 100k</v>
      </c>
      <c r="H35">
        <v>43521</v>
      </c>
      <c r="I35" s="29">
        <v>1</v>
      </c>
      <c r="J35" t="str">
        <v>Permanent</v>
      </c>
      <c r="K35" t="str">
        <v>Remote</v>
      </c>
      <c r="L35">
        <v>5.3232876712328769</v>
      </c>
      <c r="M35" t="str">
        <v>Full time</v>
      </c>
    </row>
    <row r="36" spans="1:13">
      <c r="A36" t="str">
        <v>SQ03387</v>
      </c>
      <c r="B36" t="str">
        <v>Robinia</v>
      </c>
      <c r="C36" t="str">
        <v>Scholling</v>
      </c>
      <c r="D36" t="str">
        <v>Female</v>
      </c>
      <c r="E36" t="str">
        <v>Human Resources</v>
      </c>
      <c r="F36">
        <v>100731.95</v>
      </c>
      <c r="G36" t="str">
        <v>Above 100k</v>
      </c>
      <c r="H36">
        <v>43936</v>
      </c>
      <c r="I36" s="29">
        <v>1</v>
      </c>
      <c r="J36" t="str">
        <v>Permanent</v>
      </c>
      <c r="K36" t="str">
        <v>Auckland, New Zealand</v>
      </c>
      <c r="L36">
        <v>4.1863013698630134</v>
      </c>
      <c r="M36" t="str">
        <v>Full time</v>
      </c>
    </row>
    <row r="37" spans="1:13">
      <c r="A37" t="str">
        <v>SQ03476</v>
      </c>
      <c r="B37" t="str">
        <v>Ramalingam</v>
      </c>
      <c r="C37" t="str">
        <v>Kothapeta</v>
      </c>
      <c r="D37" t="str">
        <v>Need to check</v>
      </c>
      <c r="E37" t="str">
        <v>Accounting</v>
      </c>
      <c r="F37">
        <v>107107.6</v>
      </c>
      <c r="G37" t="str">
        <v>Above 100k</v>
      </c>
      <c r="H37">
        <v>43325</v>
      </c>
      <c r="I37" s="29">
        <v>0.9</v>
      </c>
      <c r="J37" t="str">
        <v>Permanent</v>
      </c>
      <c r="K37" t="str">
        <v>Chennai, India</v>
      </c>
      <c r="L37">
        <v>5.86027397260274</v>
      </c>
      <c r="M37" t="str">
        <v>Part time</v>
      </c>
    </row>
    <row r="38" spans="1:13">
      <c r="A38" t="str">
        <v>SQ03491</v>
      </c>
      <c r="B38" t="str">
        <v>Freda</v>
      </c>
      <c r="C38" t="str">
        <v>Legan</v>
      </c>
      <c r="D38" t="str">
        <v>Female</v>
      </c>
      <c r="E38" t="str">
        <v>Sales</v>
      </c>
      <c r="F38">
        <v>102129.37</v>
      </c>
      <c r="G38" t="str">
        <v>Above 100k</v>
      </c>
      <c r="H38">
        <v>44396</v>
      </c>
      <c r="I38" s="29">
        <v>1</v>
      </c>
      <c r="J38" t="str">
        <v>Permanent</v>
      </c>
      <c r="K38" t="str">
        <v>Columbus, USA</v>
      </c>
      <c r="L38">
        <v>2.9260273972602739</v>
      </c>
      <c r="M38" t="str">
        <v>Full time</v>
      </c>
    </row>
    <row r="39" spans="1:13">
      <c r="A39" t="str">
        <v>SQ03733</v>
      </c>
      <c r="B39" t="str">
        <v>Revkah</v>
      </c>
      <c r="C39" t="str">
        <v>Antonacci</v>
      </c>
      <c r="D39" t="str">
        <v>Male</v>
      </c>
      <c r="E39" t="str">
        <v>Engineering</v>
      </c>
      <c r="F39">
        <v>109143.17</v>
      </c>
      <c r="G39" t="str">
        <v>Above 100k</v>
      </c>
      <c r="H39">
        <v>43945</v>
      </c>
      <c r="I39" s="29">
        <v>1</v>
      </c>
      <c r="J39" t="str">
        <v>Permanent</v>
      </c>
      <c r="K39" t="str">
        <v>Wellington, New Zealand</v>
      </c>
      <c r="L39">
        <v>4.161643835616438</v>
      </c>
      <c r="M39" t="str">
        <v>Full time</v>
      </c>
    </row>
    <row r="40" spans="1:13">
      <c r="A40" t="str">
        <v>SQ04603</v>
      </c>
      <c r="B40" t="str">
        <v>Natalee</v>
      </c>
      <c r="C40" t="str">
        <v>Craiker</v>
      </c>
      <c r="D40" t="str">
        <v>Male</v>
      </c>
      <c r="E40" t="str">
        <v>Product Management</v>
      </c>
      <c r="F40">
        <v>111229.47</v>
      </c>
      <c r="G40" t="str">
        <v>Above 100k</v>
      </c>
      <c r="H40">
        <v>43402</v>
      </c>
      <c r="I40" s="29">
        <v>1</v>
      </c>
      <c r="J40" t="str">
        <v>Permanent</v>
      </c>
      <c r="K40" t="str">
        <v>Remote</v>
      </c>
      <c r="L40">
        <v>5.6493150684931503</v>
      </c>
      <c r="M40" t="str">
        <v>Full time</v>
      </c>
    </row>
    <row r="41" spans="1:13">
      <c r="A41" t="str">
        <v>SQ04612</v>
      </c>
      <c r="B41" t="str">
        <v>Mick</v>
      </c>
      <c r="C41" t="str">
        <v>Spraberry</v>
      </c>
      <c r="D41" t="str">
        <v>Female</v>
      </c>
      <c r="E41" t="str">
        <v>Services</v>
      </c>
      <c r="F41">
        <v>120000</v>
      </c>
      <c r="G41" t="str">
        <v>Above 100k</v>
      </c>
      <c r="H41">
        <v>43902</v>
      </c>
      <c r="I41" s="29">
        <v>0.9</v>
      </c>
      <c r="J41" t="str">
        <v>Permanent</v>
      </c>
      <c r="K41" t="str">
        <v>Remote</v>
      </c>
      <c r="L41">
        <v>4.279452054794521</v>
      </c>
      <c r="M41" t="str">
        <v>Part time</v>
      </c>
    </row>
    <row r="42" spans="1:13">
      <c r="A42" t="str">
        <v>SQ04665</v>
      </c>
      <c r="B42" t="str">
        <v>Collin</v>
      </c>
      <c r="C42" t="str">
        <v>Jagson</v>
      </c>
      <c r="D42" t="str">
        <v>Male</v>
      </c>
      <c r="E42" t="str">
        <v>Services</v>
      </c>
      <c r="F42">
        <v>100424.23</v>
      </c>
      <c r="G42" t="str">
        <v>Above 100k</v>
      </c>
      <c r="H42">
        <v>43801</v>
      </c>
      <c r="I42" s="29">
        <v>1</v>
      </c>
      <c r="J42" t="str">
        <v>Permanent</v>
      </c>
      <c r="K42" t="str">
        <v>Auckland, New Zealand</v>
      </c>
      <c r="L42">
        <v>4.5561643835616437</v>
      </c>
      <c r="M42" t="str">
        <v>Full time</v>
      </c>
    </row>
    <row r="43" spans="1:13">
      <c r="A43" t="str">
        <v>TN00579</v>
      </c>
      <c r="B43" t="str">
        <v>Rafaelita</v>
      </c>
      <c r="C43" t="str">
        <v>Blaksland</v>
      </c>
      <c r="D43" t="str">
        <v>Female</v>
      </c>
      <c r="E43" t="str">
        <v>Services</v>
      </c>
      <c r="F43">
        <v>109163.39</v>
      </c>
      <c r="G43" t="str">
        <v>Above 100k</v>
      </c>
      <c r="H43">
        <v>44019</v>
      </c>
      <c r="I43" s="29">
        <v>0.8</v>
      </c>
      <c r="J43" t="str">
        <v>Permanent</v>
      </c>
      <c r="K43" t="str">
        <v>Seattle, USA</v>
      </c>
      <c r="L43">
        <v>3.9589041095890409</v>
      </c>
      <c r="M43" t="str">
        <v>Part time</v>
      </c>
    </row>
    <row r="44" spans="1:13">
      <c r="A44" t="str">
        <v>TN01281</v>
      </c>
      <c r="B44" t="str">
        <v>Cletus</v>
      </c>
      <c r="C44" t="str">
        <v>McGarahan</v>
      </c>
      <c r="D44" t="str">
        <v>Female</v>
      </c>
      <c r="E44" t="str">
        <v>Engineering</v>
      </c>
      <c r="F44">
        <v>114425.19</v>
      </c>
      <c r="G44" t="str">
        <v>Above 100k</v>
      </c>
      <c r="H44">
        <v>43857</v>
      </c>
      <c r="I44" s="29">
        <v>1</v>
      </c>
      <c r="J44" t="str">
        <v>Permanent</v>
      </c>
      <c r="K44" t="str">
        <v>Wellington, New Zealand</v>
      </c>
      <c r="L44">
        <v>4.4027397260273968</v>
      </c>
      <c r="M44" t="str">
        <v>Full time</v>
      </c>
    </row>
    <row r="45" spans="1:13">
      <c r="A45" t="str">
        <v>TN04058</v>
      </c>
      <c r="B45" t="str">
        <v>Subbarao</v>
      </c>
      <c r="C45" t="str">
        <v>Malladi</v>
      </c>
      <c r="D45" t="str">
        <v>Male</v>
      </c>
      <c r="E45" t="str">
        <v>Product Management</v>
      </c>
      <c r="F45">
        <v>106775.14</v>
      </c>
      <c r="G45" t="str">
        <v>Above 100k</v>
      </c>
      <c r="H45">
        <v>43563</v>
      </c>
      <c r="I45" s="29">
        <v>1</v>
      </c>
      <c r="J45" t="str">
        <v>Fixed Term</v>
      </c>
      <c r="K45" t="str">
        <v>Hyderabad, India</v>
      </c>
      <c r="L45">
        <v>5.2082191780821914</v>
      </c>
      <c r="M45" t="str">
        <v>Full time</v>
      </c>
    </row>
    <row r="46" spans="1:13">
      <c r="A46" t="str">
        <v>TN04058</v>
      </c>
      <c r="B46" t="str">
        <v>Vasu</v>
      </c>
      <c r="C46" t="str">
        <v>Nandin</v>
      </c>
      <c r="D46" t="str">
        <v>Male</v>
      </c>
      <c r="E46" t="str">
        <v>Product Management</v>
      </c>
      <c r="F46">
        <v>106775.14</v>
      </c>
      <c r="G46" t="str">
        <v>Above 100k</v>
      </c>
      <c r="H46">
        <v>43563</v>
      </c>
      <c r="I46" s="29">
        <v>1</v>
      </c>
      <c r="J46" t="str">
        <v>Fixed Term</v>
      </c>
      <c r="K46" t="str">
        <v>Hyderabad, India</v>
      </c>
      <c r="L46">
        <v>5.2082191780821914</v>
      </c>
      <c r="M46" t="str">
        <v>Full time</v>
      </c>
    </row>
    <row r="47" spans="1:13">
      <c r="A47" t="str">
        <v>TN04246</v>
      </c>
      <c r="B47" t="str">
        <v>Shaylyn</v>
      </c>
      <c r="C47" t="str">
        <v>Ransbury</v>
      </c>
      <c r="D47" t="str">
        <v>Female</v>
      </c>
      <c r="E47" t="str">
        <v>Support</v>
      </c>
      <c r="F47">
        <v>100371.31</v>
      </c>
      <c r="G47" t="str">
        <v>Above 100k</v>
      </c>
      <c r="H47">
        <v>44067</v>
      </c>
      <c r="I47" s="29">
        <v>0.8</v>
      </c>
      <c r="J47" t="str">
        <v>Fixed Term</v>
      </c>
      <c r="K47" t="str">
        <v>Auckland, New Zealand</v>
      </c>
      <c r="L47">
        <v>3.8273972602739725</v>
      </c>
      <c r="M47" t="str">
        <v>Part time</v>
      </c>
    </row>
    <row r="48" spans="1:13">
      <c r="A48" t="str">
        <v>TN04740</v>
      </c>
      <c r="B48" t="str">
        <v>Tristam</v>
      </c>
      <c r="C48" t="str">
        <v>Cuming</v>
      </c>
      <c r="D48" t="str">
        <v>Female</v>
      </c>
      <c r="E48" t="str">
        <v>Support</v>
      </c>
      <c r="F48">
        <v>104038.9</v>
      </c>
      <c r="G48" t="str">
        <v>Above 100k</v>
      </c>
      <c r="H48">
        <v>43815</v>
      </c>
      <c r="I48" s="29">
        <v>1</v>
      </c>
      <c r="J48" t="str">
        <v>Fixed Term</v>
      </c>
      <c r="K48" t="str">
        <v>Remote</v>
      </c>
      <c r="L48">
        <v>4.5178082191780824</v>
      </c>
      <c r="M48" t="str">
        <v>Full time</v>
      </c>
    </row>
    <row r="49" spans="1:13">
      <c r="A49" t="str">
        <v>VT01684</v>
      </c>
      <c r="B49" t="str">
        <v>Audry</v>
      </c>
      <c r="C49" t="str">
        <v>Yu</v>
      </c>
      <c r="D49" t="str">
        <v>Female</v>
      </c>
      <c r="E49" t="str">
        <v>Training</v>
      </c>
      <c r="F49">
        <v>101187.36</v>
      </c>
      <c r="G49" t="str">
        <v>Above 100k</v>
      </c>
      <c r="H49">
        <v>43258</v>
      </c>
      <c r="I49" s="29">
        <v>1</v>
      </c>
      <c r="J49" t="str">
        <v>Fixed Term</v>
      </c>
      <c r="K49" t="str">
        <v>Columbus, USA</v>
      </c>
      <c r="L49">
        <v>6.043835616438356</v>
      </c>
      <c r="M49" t="str">
        <v>Full time</v>
      </c>
    </row>
    <row r="50" spans="1:13">
      <c r="A50" t="str">
        <v>VT01762</v>
      </c>
      <c r="B50" t="str">
        <v>Geena</v>
      </c>
      <c r="C50" t="str">
        <v>Raghavanpillai</v>
      </c>
      <c r="D50" t="str">
        <v>Male</v>
      </c>
      <c r="E50" t="str">
        <v>Accounting</v>
      </c>
      <c r="F50">
        <v>102515.81</v>
      </c>
      <c r="G50" t="str">
        <v>Above 100k</v>
      </c>
      <c r="H50">
        <v>43902</v>
      </c>
      <c r="I50" s="29">
        <v>1</v>
      </c>
      <c r="J50" t="str">
        <v>Fixed Term</v>
      </c>
      <c r="K50" t="str">
        <v>Chennai, India</v>
      </c>
      <c r="L50">
        <v>4.279452054794521</v>
      </c>
      <c r="M50" t="str">
        <v>Full time</v>
      </c>
    </row>
    <row r="51" spans="1:13">
      <c r="A51" t="str">
        <v>VT01893</v>
      </c>
      <c r="B51" t="str">
        <v>Lindy</v>
      </c>
      <c r="C51" t="str">
        <v>Guillet</v>
      </c>
      <c r="D51" t="str">
        <v>Male</v>
      </c>
      <c r="E51" t="str">
        <v>Training</v>
      </c>
      <c r="F51">
        <v>112778.28</v>
      </c>
      <c r="G51" t="str">
        <v>Above 100k</v>
      </c>
      <c r="H51">
        <v>43250</v>
      </c>
      <c r="I51" s="29">
        <v>1</v>
      </c>
      <c r="J51" t="str">
        <v>Fixed Term</v>
      </c>
      <c r="K51" t="str">
        <v>Remote</v>
      </c>
      <c r="L51">
        <v>6.065753424657534</v>
      </c>
      <c r="M51" t="str">
        <v>Full time</v>
      </c>
    </row>
    <row r="52" spans="1:13">
      <c r="A52" t="str">
        <v>VT01893</v>
      </c>
      <c r="B52" t="str">
        <v>Lindy</v>
      </c>
      <c r="C52" t="str">
        <v>Guillet</v>
      </c>
      <c r="D52" t="str">
        <v>Male</v>
      </c>
      <c r="E52" t="str">
        <v>Training</v>
      </c>
      <c r="F52">
        <v>112778.28</v>
      </c>
      <c r="G52" t="str">
        <v>Above 100k</v>
      </c>
      <c r="H52">
        <v>43250</v>
      </c>
      <c r="I52" s="29">
        <v>1</v>
      </c>
      <c r="J52" t="str">
        <v>Fixed Term</v>
      </c>
      <c r="K52" t="str">
        <v>Remote</v>
      </c>
      <c r="L52">
        <v>6.065753424657534</v>
      </c>
      <c r="M52" t="str">
        <v>Full time</v>
      </c>
    </row>
    <row r="53" spans="1:13">
      <c r="A53" t="str">
        <v>VT02491</v>
      </c>
      <c r="B53" t="str">
        <v>Alexis</v>
      </c>
      <c r="C53" t="str">
        <v>Gotfrey</v>
      </c>
      <c r="D53" t="str">
        <v>Male</v>
      </c>
      <c r="E53" t="str">
        <v>Engineering</v>
      </c>
      <c r="F53">
        <v>114465.93</v>
      </c>
      <c r="G53" t="str">
        <v>Above 100k</v>
      </c>
      <c r="H53">
        <v>43291</v>
      </c>
      <c r="I53" s="29">
        <v>1</v>
      </c>
      <c r="J53" t="str">
        <v>Temporary</v>
      </c>
      <c r="K53" t="str">
        <v>Wellington, New Zealand</v>
      </c>
      <c r="L53">
        <v>5.9534246575342467</v>
      </c>
      <c r="M53" t="str">
        <v>Full time</v>
      </c>
    </row>
    <row r="54" spans="1:13">
      <c r="A54" t="str">
        <v>VT02801</v>
      </c>
      <c r="B54" t="str">
        <v>Shellysheldon</v>
      </c>
      <c r="C54" t="str">
        <v>Mahady</v>
      </c>
      <c r="D54" t="str">
        <v>Male</v>
      </c>
      <c r="E54" t="str">
        <v>Training</v>
      </c>
      <c r="F54">
        <v>114691.03</v>
      </c>
      <c r="G54" t="str">
        <v>Above 100k</v>
      </c>
      <c r="H54">
        <v>44039</v>
      </c>
      <c r="I54" s="29">
        <v>1</v>
      </c>
      <c r="J54" t="str">
        <v>Temporary</v>
      </c>
      <c r="K54" t="str">
        <v>Wellington, New Zealand</v>
      </c>
      <c r="L54">
        <v>3.904109589041096</v>
      </c>
      <c r="M54" t="str">
        <v>Full time</v>
      </c>
    </row>
    <row r="55" spans="1:13">
      <c r="A55" t="str">
        <v>VT03421</v>
      </c>
      <c r="B55" t="str">
        <v>Alic</v>
      </c>
      <c r="C55" t="str">
        <v>Bagg</v>
      </c>
      <c r="D55" t="str">
        <v>Male</v>
      </c>
      <c r="E55" t="str">
        <v>Legal</v>
      </c>
      <c r="F55">
        <v>113747.56</v>
      </c>
      <c r="G55" t="str">
        <v>Above 100k</v>
      </c>
      <c r="H55">
        <v>44270</v>
      </c>
      <c r="I55" s="29">
        <v>0.7</v>
      </c>
      <c r="J55" t="str">
        <v>Temporary</v>
      </c>
      <c r="K55" t="str">
        <v>Columbus, USA</v>
      </c>
      <c r="L55">
        <v>3.2712328767123289</v>
      </c>
      <c r="M55" t="str">
        <v>Part time</v>
      </c>
    </row>
    <row r="56" spans="1:13">
      <c r="A56" t="str">
        <v>VT03421</v>
      </c>
      <c r="B56" t="str">
        <v>Alic</v>
      </c>
      <c r="C56" t="str">
        <v>Bagg</v>
      </c>
      <c r="D56" t="str">
        <v>Male</v>
      </c>
      <c r="E56" t="str">
        <v>Legal</v>
      </c>
      <c r="F56">
        <v>113747.56</v>
      </c>
      <c r="G56" t="str">
        <v>Above 100k</v>
      </c>
      <c r="H56">
        <v>44270</v>
      </c>
      <c r="I56" s="29">
        <v>0.7</v>
      </c>
      <c r="J56" t="str">
        <v>Temporary</v>
      </c>
      <c r="K56" t="str">
        <v>Columbus, USA</v>
      </c>
      <c r="L56">
        <v>3.2712328767123289</v>
      </c>
      <c r="M56" t="str">
        <v>Part time</v>
      </c>
    </row>
    <row r="57" spans="1:13">
      <c r="A57" t="str">
        <v>VT04028</v>
      </c>
      <c r="B57" t="str">
        <v>Michale</v>
      </c>
      <c r="C57" t="str">
        <v>Rolf</v>
      </c>
      <c r="D57" t="str">
        <v>Male</v>
      </c>
      <c r="E57" t="str">
        <v>Services</v>
      </c>
      <c r="F57">
        <v>111815.49</v>
      </c>
      <c r="G57" t="str">
        <v>Above 100k</v>
      </c>
      <c r="H57">
        <v>43895</v>
      </c>
      <c r="I57" s="29">
        <v>0.7</v>
      </c>
      <c r="J57" t="str">
        <v>Temporary</v>
      </c>
      <c r="K57" t="str">
        <v>Remote</v>
      </c>
      <c r="L57">
        <v>4.2986301369863016</v>
      </c>
      <c r="M57" t="str">
        <v>Part time</v>
      </c>
    </row>
    <row r="58" spans="1:13">
      <c r="A58" t="str">
        <v>VT04028</v>
      </c>
      <c r="B58" t="str">
        <v>Michale</v>
      </c>
      <c r="C58" t="str">
        <v>Rolf</v>
      </c>
      <c r="D58" t="str">
        <v>Male</v>
      </c>
      <c r="E58" t="str">
        <v>Services</v>
      </c>
      <c r="F58">
        <v>111815.49</v>
      </c>
      <c r="G58" t="str">
        <v>Above 100k</v>
      </c>
      <c r="H58">
        <v>43895</v>
      </c>
      <c r="I58" s="29">
        <v>0.7</v>
      </c>
      <c r="J58" t="str">
        <v>Temporary</v>
      </c>
      <c r="K58" t="str">
        <v>Remote</v>
      </c>
      <c r="L58">
        <v>4.2986301369863016</v>
      </c>
      <c r="M58" t="str">
        <v>Part time</v>
      </c>
    </row>
    <row r="59" spans="1:13">
      <c r="A59" t="str">
        <v>VT04093</v>
      </c>
      <c r="B59" t="str">
        <v>Prasanna</v>
      </c>
      <c r="C59" t="str">
        <v>Lakshmi</v>
      </c>
      <c r="D59" t="str">
        <v>Female</v>
      </c>
      <c r="E59" t="str">
        <v>Training</v>
      </c>
      <c r="F59">
        <v>116767.63</v>
      </c>
      <c r="G59" t="str">
        <v>Above 100k</v>
      </c>
      <c r="H59">
        <v>43949</v>
      </c>
      <c r="I59" s="29">
        <v>0.4</v>
      </c>
      <c r="J59" t="str">
        <v>Temporary</v>
      </c>
      <c r="K59" t="str">
        <v>Chennai, India</v>
      </c>
      <c r="L59">
        <v>4.1506849315068495</v>
      </c>
      <c r="M59" t="str">
        <v>Part time</v>
      </c>
    </row>
    <row r="60" spans="1:13">
      <c r="A60" t="str">
        <v>VT04093</v>
      </c>
      <c r="B60" t="str">
        <v>Baruna</v>
      </c>
      <c r="C60" t="str">
        <v>Ogale</v>
      </c>
      <c r="D60" t="str">
        <v>Female</v>
      </c>
      <c r="E60" t="str">
        <v>Training</v>
      </c>
      <c r="F60">
        <v>116767.63</v>
      </c>
      <c r="G60" t="str">
        <v>Above 100k</v>
      </c>
      <c r="H60">
        <v>43949</v>
      </c>
      <c r="I60" s="29">
        <v>0.4</v>
      </c>
      <c r="J60" t="str">
        <v>Temporary</v>
      </c>
      <c r="K60" t="str">
        <v>Chennai, India</v>
      </c>
      <c r="L60">
        <v>4.1506849315068495</v>
      </c>
      <c r="M60" t="str">
        <v>Part time</v>
      </c>
    </row>
    <row r="61" spans="1:13">
      <c r="A61" t="str">
        <v>VT04350</v>
      </c>
      <c r="B61" t="str">
        <v>Kulbhushan</v>
      </c>
      <c r="C61" t="str">
        <v>Moorthy</v>
      </c>
      <c r="D61" t="str">
        <v>Male</v>
      </c>
      <c r="E61" t="str">
        <v>Business Development</v>
      </c>
      <c r="F61">
        <v>106400.02</v>
      </c>
      <c r="G61" t="str">
        <v>Above 100k</v>
      </c>
      <c r="H61">
        <v>44021</v>
      </c>
      <c r="I61" s="29">
        <v>1</v>
      </c>
      <c r="J61" t="str">
        <v>Temporary</v>
      </c>
      <c r="K61" t="str">
        <v>Chennai, India</v>
      </c>
      <c r="L61">
        <v>3.9534246575342467</v>
      </c>
      <c r="M61" t="str">
        <v>Full time</v>
      </c>
    </row>
    <row r="62" spans="1:13">
      <c r="A62" t="str">
        <v>VT04350</v>
      </c>
      <c r="B62" t="str">
        <v>Lalit</v>
      </c>
      <c r="C62" t="str">
        <v>Kothari</v>
      </c>
      <c r="D62" t="str">
        <v>Male</v>
      </c>
      <c r="E62" t="str">
        <v>Business Development</v>
      </c>
      <c r="F62">
        <v>106400.02</v>
      </c>
      <c r="G62" t="str">
        <v>Above 100k</v>
      </c>
      <c r="H62">
        <v>44021</v>
      </c>
      <c r="I62" s="29">
        <v>1</v>
      </c>
      <c r="J62" t="str">
        <v>Temporary</v>
      </c>
      <c r="K62" t="str">
        <v>Chennai, India</v>
      </c>
      <c r="L62">
        <v>3.9534246575342467</v>
      </c>
      <c r="M62" t="str">
        <v>Full time</v>
      </c>
    </row>
    <row r="63" spans="1:13">
      <c r="A63" t="str">
        <v>VT04552</v>
      </c>
      <c r="B63" t="str">
        <v>Theresita</v>
      </c>
      <c r="C63" t="str">
        <v>Chasmer</v>
      </c>
      <c r="D63" t="str">
        <v>Female</v>
      </c>
      <c r="E63" t="str">
        <v>Product Management</v>
      </c>
      <c r="F63">
        <v>106665.67</v>
      </c>
      <c r="G63" t="str">
        <v>Above 100k</v>
      </c>
      <c r="H63">
        <v>43311</v>
      </c>
      <c r="I63" s="29">
        <v>1</v>
      </c>
      <c r="J63" t="str">
        <v>Temporary</v>
      </c>
      <c r="K63" t="str">
        <v>Columbus, USA</v>
      </c>
      <c r="L63">
        <v>5.8986301369863012</v>
      </c>
      <c r="M63" t="str">
        <v>Full time</v>
      </c>
    </row>
    <row r="64" spans="1:13">
      <c r="A64" t="str">
        <v>VT04681</v>
      </c>
      <c r="B64" t="str">
        <v>Nickolai</v>
      </c>
      <c r="C64" t="str">
        <v>Artin</v>
      </c>
      <c r="D64" t="str">
        <v>Female</v>
      </c>
      <c r="E64" t="str">
        <v>Product Management</v>
      </c>
      <c r="F64">
        <v>110906.35</v>
      </c>
      <c r="G64" t="str">
        <v>Above 100k</v>
      </c>
      <c r="H64">
        <v>43434</v>
      </c>
      <c r="I64" s="29">
        <v>1</v>
      </c>
      <c r="J64" t="str">
        <v>Temporary</v>
      </c>
      <c r="K64" t="str">
        <v>Wellington, New Zealand</v>
      </c>
      <c r="L64">
        <v>5.5616438356164384</v>
      </c>
      <c r="M64" t="str">
        <v>Full time</v>
      </c>
    </row>
    <row r="65" spans="1:14">
      <c r="I65" s="29"/>
    </row>
    <row r="66" spans="1:14" ht="18">
      <c r="A66" s="48" t="s">
        <v>776</v>
      </c>
      <c r="B66" s="48"/>
      <c r="C66" s="48"/>
      <c r="D66" s="48"/>
      <c r="E66" s="48"/>
      <c r="F66" s="48"/>
      <c r="G66" s="48"/>
      <c r="H66" s="48"/>
      <c r="I66" s="38" t="s">
        <v>777</v>
      </c>
      <c r="J66" s="38"/>
      <c r="K66" s="38"/>
    </row>
    <row r="67" spans="1:14">
      <c r="B67" s="49" t="s">
        <v>775</v>
      </c>
      <c r="C67" s="49"/>
      <c r="D67" s="49"/>
      <c r="E67" s="49"/>
      <c r="F67" s="49"/>
      <c r="G67" s="37">
        <v>115000</v>
      </c>
      <c r="I67" s="29"/>
    </row>
    <row r="68" spans="1:14">
      <c r="A68" s="35" t="str" cm="1">
        <f t="array" ref="A68:M68">staff[#Headers]</f>
        <v>Emp ID</v>
      </c>
      <c r="B68" s="35" t="str">
        <v>First Name</v>
      </c>
      <c r="C68" s="35" t="str">
        <v>Last Name</v>
      </c>
      <c r="D68" s="35" t="str">
        <v>Gender</v>
      </c>
      <c r="E68" s="35" t="str">
        <v>Department</v>
      </c>
      <c r="F68" s="35" t="str">
        <v>Salary</v>
      </c>
      <c r="G68" s="35" t="str">
        <v>Salary Bucket</v>
      </c>
      <c r="H68" s="35" t="str">
        <v>Start Date</v>
      </c>
      <c r="I68" s="36" t="str">
        <v>FTE</v>
      </c>
      <c r="J68" s="35" t="str">
        <v>Employee type</v>
      </c>
      <c r="K68" s="35" t="str">
        <v>Work location</v>
      </c>
      <c r="L68" s="35" t="str">
        <v>Tenure</v>
      </c>
      <c r="M68" s="35" t="str">
        <v>Work Type</v>
      </c>
      <c r="N68" s="35"/>
    </row>
    <row r="69" spans="1:14">
      <c r="A69" s="29" t="str" cm="1">
        <f t="array" ref="A69:M76">_xlfn._xlws.FILTER(staff[],staff[Salary]&gt;=G67)</f>
        <v>PR00147</v>
      </c>
      <c r="B69" t="str">
        <v>Minerva</v>
      </c>
      <c r="C69" t="str">
        <v>Ricardot</v>
      </c>
      <c r="D69" t="str">
        <v>Male</v>
      </c>
      <c r="E69" t="str">
        <v>Engineering</v>
      </c>
      <c r="F69">
        <v>120000</v>
      </c>
      <c r="G69" t="str">
        <v>Above 100k</v>
      </c>
      <c r="H69">
        <v>43416</v>
      </c>
      <c r="I69" s="29">
        <v>1</v>
      </c>
      <c r="J69" t="str">
        <v>Permanent</v>
      </c>
      <c r="K69" t="str">
        <v>Remote</v>
      </c>
      <c r="L69">
        <v>5.6109589041095891</v>
      </c>
      <c r="M69" t="str">
        <v>Full time</v>
      </c>
    </row>
    <row r="70" spans="1:14">
      <c r="A70" t="str">
        <v>PR02010</v>
      </c>
      <c r="B70" t="str">
        <v>Prerana</v>
      </c>
      <c r="C70" t="str">
        <v>Nishita</v>
      </c>
      <c r="D70" t="str">
        <v>Male</v>
      </c>
      <c r="E70" t="str">
        <v>Product Management</v>
      </c>
      <c r="F70">
        <v>115191.38</v>
      </c>
      <c r="G70" t="str">
        <v>Above 100k</v>
      </c>
      <c r="H70">
        <v>44004</v>
      </c>
      <c r="I70" s="29">
        <v>1</v>
      </c>
      <c r="J70" t="str">
        <v>Permanent</v>
      </c>
      <c r="K70" t="str">
        <v>Hyderabad, India</v>
      </c>
      <c r="L70">
        <v>4</v>
      </c>
      <c r="M70" t="str">
        <v>Full time</v>
      </c>
    </row>
    <row r="71" spans="1:14">
      <c r="A71" t="str">
        <v>PR03886</v>
      </c>
      <c r="B71" t="str">
        <v>Edd</v>
      </c>
      <c r="C71" t="str">
        <v>MacKnockiter</v>
      </c>
      <c r="D71" t="str">
        <v>Male</v>
      </c>
      <c r="E71" t="str">
        <v>Accounting</v>
      </c>
      <c r="F71">
        <v>119022.49</v>
      </c>
      <c r="G71" t="str">
        <v>Above 100k</v>
      </c>
      <c r="H71">
        <v>44431</v>
      </c>
      <c r="I71" s="29">
        <v>1</v>
      </c>
      <c r="J71" t="str">
        <v>Permanent</v>
      </c>
      <c r="K71" t="str">
        <v>Auckland, New Zealand</v>
      </c>
      <c r="L71">
        <v>2.8301369863013699</v>
      </c>
      <c r="M71" t="str">
        <v>Full time</v>
      </c>
    </row>
    <row r="72" spans="1:14">
      <c r="A72" t="str">
        <v>SQ00144</v>
      </c>
      <c r="B72" t="str">
        <v>Collen</v>
      </c>
      <c r="C72" t="str">
        <v>Dunbleton</v>
      </c>
      <c r="D72" t="str">
        <v>Male</v>
      </c>
      <c r="E72" t="str">
        <v>Engineering</v>
      </c>
      <c r="F72">
        <v>118976.16</v>
      </c>
      <c r="G72" t="str">
        <v>Above 100k</v>
      </c>
      <c r="H72">
        <v>44120</v>
      </c>
      <c r="I72" s="29">
        <v>1</v>
      </c>
      <c r="J72" t="str">
        <v>Permanent</v>
      </c>
      <c r="K72" t="str">
        <v>Wellington, New Zealand</v>
      </c>
      <c r="L72">
        <v>3.6821917808219178</v>
      </c>
      <c r="M72" t="str">
        <v>Full time</v>
      </c>
    </row>
    <row r="73" spans="1:14">
      <c r="A73" t="str">
        <v>SQ02174</v>
      </c>
      <c r="B73" t="str">
        <v>Sidoney</v>
      </c>
      <c r="C73" t="str">
        <v>Yitzhok</v>
      </c>
      <c r="D73" t="str">
        <v>Female</v>
      </c>
      <c r="E73" t="str">
        <v>Engineering</v>
      </c>
      <c r="F73">
        <v>118442.54</v>
      </c>
      <c r="G73" t="str">
        <v>Above 100k</v>
      </c>
      <c r="H73">
        <v>44193</v>
      </c>
      <c r="I73" s="29">
        <v>1</v>
      </c>
      <c r="J73" t="str">
        <v>Permanent</v>
      </c>
      <c r="K73" t="str">
        <v>Auckland, New Zealand</v>
      </c>
      <c r="L73">
        <v>3.4821917808219176</v>
      </c>
      <c r="M73" t="str">
        <v>Full time</v>
      </c>
    </row>
    <row r="74" spans="1:14">
      <c r="A74" t="str">
        <v>SQ04612</v>
      </c>
      <c r="B74" t="str">
        <v>Mick</v>
      </c>
      <c r="C74" t="str">
        <v>Spraberry</v>
      </c>
      <c r="D74" t="str">
        <v>Female</v>
      </c>
      <c r="E74" t="str">
        <v>Services</v>
      </c>
      <c r="F74">
        <v>120000</v>
      </c>
      <c r="G74" t="str">
        <v>Above 100k</v>
      </c>
      <c r="H74">
        <v>43902</v>
      </c>
      <c r="I74" s="29">
        <v>0.9</v>
      </c>
      <c r="J74" t="str">
        <v>Permanent</v>
      </c>
      <c r="K74" t="str">
        <v>Remote</v>
      </c>
      <c r="L74">
        <v>4.279452054794521</v>
      </c>
      <c r="M74" t="str">
        <v>Part time</v>
      </c>
    </row>
    <row r="75" spans="1:14">
      <c r="A75" t="str">
        <v>VT04093</v>
      </c>
      <c r="B75" t="str">
        <v>Prasanna</v>
      </c>
      <c r="C75" t="str">
        <v>Lakshmi</v>
      </c>
      <c r="D75" t="str">
        <v>Female</v>
      </c>
      <c r="E75" t="str">
        <v>Training</v>
      </c>
      <c r="F75">
        <v>116767.63</v>
      </c>
      <c r="G75" t="str">
        <v>Above 100k</v>
      </c>
      <c r="H75">
        <v>43949</v>
      </c>
      <c r="I75" s="29">
        <v>0.4</v>
      </c>
      <c r="J75" t="str">
        <v>Temporary</v>
      </c>
      <c r="K75" t="str">
        <v>Chennai, India</v>
      </c>
      <c r="L75">
        <v>4.1506849315068495</v>
      </c>
      <c r="M75" t="str">
        <v>Part time</v>
      </c>
    </row>
    <row r="76" spans="1:14">
      <c r="A76" t="str">
        <v>VT04093</v>
      </c>
      <c r="B76" t="str">
        <v>Baruna</v>
      </c>
      <c r="C76" t="str">
        <v>Ogale</v>
      </c>
      <c r="D76" t="str">
        <v>Female</v>
      </c>
      <c r="E76" t="str">
        <v>Training</v>
      </c>
      <c r="F76">
        <v>116767.63</v>
      </c>
      <c r="G76" t="str">
        <v>Above 100k</v>
      </c>
      <c r="H76">
        <v>43949</v>
      </c>
      <c r="I76" s="29">
        <v>0.4</v>
      </c>
      <c r="J76" t="str">
        <v>Temporary</v>
      </c>
      <c r="K76" t="str">
        <v>Chennai, India</v>
      </c>
      <c r="L76">
        <v>4.1506849315068495</v>
      </c>
      <c r="M76" t="str">
        <v>Part time</v>
      </c>
    </row>
    <row r="77" spans="1:14">
      <c r="I77" s="29"/>
    </row>
    <row r="78" spans="1:14" ht="21">
      <c r="A78" s="50" t="s">
        <v>778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</row>
    <row r="79" spans="1:14">
      <c r="A79" s="35" t="str" cm="1">
        <f t="array" ref="A79:M79">staff[#Headers]</f>
        <v>Emp ID</v>
      </c>
      <c r="B79" s="35" t="str">
        <v>First Name</v>
      </c>
      <c r="C79" s="35" t="str">
        <v>Last Name</v>
      </c>
      <c r="D79" s="35" t="str">
        <v>Gender</v>
      </c>
      <c r="E79" s="35" t="str">
        <v>Department</v>
      </c>
      <c r="F79" s="35" t="str">
        <v>Salary</v>
      </c>
      <c r="G79" s="35" t="str">
        <v>Salary Bucket</v>
      </c>
      <c r="H79" s="35" t="str">
        <v>Start Date</v>
      </c>
      <c r="I79" s="36" t="str">
        <v>FTE</v>
      </c>
      <c r="J79" s="35" t="str">
        <v>Employee type</v>
      </c>
      <c r="K79" s="35" t="str">
        <v>Work location</v>
      </c>
      <c r="L79" s="35" t="str">
        <v>Tenure</v>
      </c>
      <c r="M79" s="35" t="str">
        <v>Work Type</v>
      </c>
      <c r="N79" s="35"/>
    </row>
    <row r="80" spans="1:14">
      <c r="A80" t="str" cm="1">
        <f t="array" ref="A80:F83">_xlfn._xlws.FILTER(staff[[Emp ID]:[Salary]],(staff[Salary]&gt;G67)*(staff[Gender]="Female"))</f>
        <v>SQ02174</v>
      </c>
      <c r="B80" t="str">
        <v>Sidoney</v>
      </c>
      <c r="C80" t="str">
        <v>Yitzhok</v>
      </c>
      <c r="D80" t="str">
        <v>Female</v>
      </c>
      <c r="E80" t="str">
        <v>Engineering</v>
      </c>
      <c r="F80">
        <v>118442.54</v>
      </c>
      <c r="I80" s="29"/>
    </row>
    <row r="81" spans="1:16">
      <c r="A81" t="str">
        <v>SQ04612</v>
      </c>
      <c r="B81" t="str">
        <v>Mick</v>
      </c>
      <c r="C81" t="str">
        <v>Spraberry</v>
      </c>
      <c r="D81" t="str">
        <v>Female</v>
      </c>
      <c r="E81" t="str">
        <v>Services</v>
      </c>
      <c r="F81">
        <v>120000</v>
      </c>
      <c r="I81" s="29"/>
    </row>
    <row r="82" spans="1:16">
      <c r="A82" t="str">
        <v>VT04093</v>
      </c>
      <c r="B82" t="str">
        <v>Prasanna</v>
      </c>
      <c r="C82" t="str">
        <v>Lakshmi</v>
      </c>
      <c r="D82" t="str">
        <v>Female</v>
      </c>
      <c r="E82" t="str">
        <v>Training</v>
      </c>
      <c r="F82">
        <v>116767.63</v>
      </c>
      <c r="I82" s="29"/>
    </row>
    <row r="83" spans="1:16">
      <c r="A83" t="str">
        <v>VT04093</v>
      </c>
      <c r="B83" t="str">
        <v>Baruna</v>
      </c>
      <c r="C83" t="str">
        <v>Ogale</v>
      </c>
      <c r="D83" t="str">
        <v>Female</v>
      </c>
      <c r="E83" t="str">
        <v>Training</v>
      </c>
      <c r="F83">
        <v>116767.63</v>
      </c>
      <c r="I83" s="29"/>
    </row>
    <row r="84" spans="1:16">
      <c r="I84" s="29"/>
    </row>
    <row r="85" spans="1:16" ht="21">
      <c r="A85" s="50" t="s">
        <v>779</v>
      </c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  <row r="86" spans="1:16">
      <c r="A86" s="35" t="str" cm="1">
        <f t="array" ref="A86:M86">staff[#Headers]</f>
        <v>Emp ID</v>
      </c>
      <c r="B86" s="35" t="str">
        <v>First Name</v>
      </c>
      <c r="C86" s="35" t="str">
        <v>Last Name</v>
      </c>
      <c r="D86" s="35" t="str">
        <v>Gender</v>
      </c>
      <c r="E86" s="35" t="str">
        <v>Department</v>
      </c>
      <c r="F86" s="35" t="str">
        <v>Salary</v>
      </c>
      <c r="G86" s="35" t="str">
        <v>Salary Bucket</v>
      </c>
      <c r="H86" s="35" t="str">
        <v>Start Date</v>
      </c>
      <c r="I86" s="36" t="str">
        <v>FTE</v>
      </c>
      <c r="J86" s="35" t="str">
        <v>Employee type</v>
      </c>
      <c r="K86" s="35" t="str">
        <v>Work location</v>
      </c>
      <c r="L86" s="35" t="str">
        <v>Tenure</v>
      </c>
      <c r="M86" s="35" t="str">
        <v>Work Type</v>
      </c>
      <c r="N86" s="35"/>
    </row>
    <row r="87" spans="1:16">
      <c r="A87" t="str" cm="1">
        <f t="array" ref="A87:M90">_xlfn._xlws.FILTER(staff[],(staff[Salary]&gt;G67)*(staff[Gender]="Female")*(staff[Start Date] &gt; DATE(2019,12,31)))</f>
        <v>SQ02174</v>
      </c>
      <c r="B87" t="str">
        <v>Sidoney</v>
      </c>
      <c r="C87" t="str">
        <v>Yitzhok</v>
      </c>
      <c r="D87" t="str">
        <v>Female</v>
      </c>
      <c r="E87" t="str">
        <v>Engineering</v>
      </c>
      <c r="F87">
        <v>118442.54</v>
      </c>
      <c r="G87" t="str">
        <v>Above 100k</v>
      </c>
      <c r="H87">
        <v>44193</v>
      </c>
      <c r="I87" s="29">
        <v>1</v>
      </c>
      <c r="J87" t="str">
        <v>Permanent</v>
      </c>
      <c r="K87" t="str">
        <v>Auckland, New Zealand</v>
      </c>
      <c r="L87">
        <v>3.4821917808219176</v>
      </c>
      <c r="M87" t="str">
        <v>Full time</v>
      </c>
    </row>
    <row r="88" spans="1:16">
      <c r="A88" t="str">
        <v>SQ04612</v>
      </c>
      <c r="B88" t="str">
        <v>Mick</v>
      </c>
      <c r="C88" t="str">
        <v>Spraberry</v>
      </c>
      <c r="D88" t="str">
        <v>Female</v>
      </c>
      <c r="E88" t="str">
        <v>Services</v>
      </c>
      <c r="F88">
        <v>120000</v>
      </c>
      <c r="G88" t="str">
        <v>Above 100k</v>
      </c>
      <c r="H88">
        <v>43902</v>
      </c>
      <c r="I88" s="29">
        <v>0.9</v>
      </c>
      <c r="J88" t="str">
        <v>Permanent</v>
      </c>
      <c r="K88" t="str">
        <v>Remote</v>
      </c>
      <c r="L88">
        <v>4.279452054794521</v>
      </c>
      <c r="M88" t="str">
        <v>Part time</v>
      </c>
    </row>
    <row r="89" spans="1:16">
      <c r="A89" t="str">
        <v>VT04093</v>
      </c>
      <c r="B89" t="str">
        <v>Prasanna</v>
      </c>
      <c r="C89" t="str">
        <v>Lakshmi</v>
      </c>
      <c r="D89" t="str">
        <v>Female</v>
      </c>
      <c r="E89" t="str">
        <v>Training</v>
      </c>
      <c r="F89">
        <v>116767.63</v>
      </c>
      <c r="G89" t="str">
        <v>Above 100k</v>
      </c>
      <c r="H89">
        <v>43949</v>
      </c>
      <c r="I89" s="29">
        <v>0.4</v>
      </c>
      <c r="J89" t="str">
        <v>Temporary</v>
      </c>
      <c r="K89" t="str">
        <v>Chennai, India</v>
      </c>
      <c r="L89">
        <v>4.1506849315068495</v>
      </c>
      <c r="M89" t="str">
        <v>Part time</v>
      </c>
    </row>
    <row r="90" spans="1:16">
      <c r="A90" t="str">
        <v>VT04093</v>
      </c>
      <c r="B90" t="str">
        <v>Baruna</v>
      </c>
      <c r="C90" t="str">
        <v>Ogale</v>
      </c>
      <c r="D90" t="str">
        <v>Female</v>
      </c>
      <c r="E90" t="str">
        <v>Training</v>
      </c>
      <c r="F90">
        <v>116767.63</v>
      </c>
      <c r="G90" t="str">
        <v>Above 100k</v>
      </c>
      <c r="H90">
        <v>43949</v>
      </c>
      <c r="I90" s="29">
        <v>0.4</v>
      </c>
      <c r="J90" t="str">
        <v>Temporary</v>
      </c>
      <c r="K90" t="str">
        <v>Chennai, India</v>
      </c>
      <c r="L90">
        <v>4.1506849315068495</v>
      </c>
      <c r="M90" t="str">
        <v>Part time</v>
      </c>
    </row>
    <row r="91" spans="1:16">
      <c r="I91" s="29"/>
    </row>
    <row r="92" spans="1:16">
      <c r="I92" s="29"/>
    </row>
    <row r="93" spans="1:16" ht="23.4">
      <c r="A93" s="47" t="s">
        <v>784</v>
      </c>
      <c r="B93" s="47"/>
      <c r="C93" s="47"/>
      <c r="D93" s="47"/>
      <c r="E93" s="47"/>
      <c r="F93" s="47"/>
      <c r="G93" s="47"/>
      <c r="H93" s="33"/>
      <c r="I93" s="33"/>
      <c r="J93" s="33"/>
      <c r="K93" s="33"/>
    </row>
    <row r="94" spans="1:16">
      <c r="I94" s="29"/>
    </row>
    <row r="95" spans="1:16">
      <c r="B95" s="35" t="s">
        <v>780</v>
      </c>
      <c r="C95" s="35" t="s">
        <v>15</v>
      </c>
      <c r="D95" s="35" t="s">
        <v>24</v>
      </c>
      <c r="E95" s="35"/>
      <c r="I95" s="29"/>
    </row>
    <row r="96" spans="1:16">
      <c r="A96" s="7" t="s">
        <v>781</v>
      </c>
      <c r="B96" s="39">
        <f>MIN(staff[Salary])</f>
        <v>28160.79</v>
      </c>
      <c r="C96" s="39">
        <f>_xlfn.MINIFS(staff[Salary],staff[Gender],C95)</f>
        <v>28160.79</v>
      </c>
      <c r="D96" s="39">
        <f>_xlfn.MINIFS(staff[Salary],staff[Gender],D95)</f>
        <v>28305.08</v>
      </c>
      <c r="E96" s="40"/>
      <c r="I96" s="29"/>
    </row>
    <row r="97" spans="1:9">
      <c r="A97" s="7" t="s">
        <v>782</v>
      </c>
      <c r="B97" s="39">
        <f>MAX(staff[Salary])</f>
        <v>120000</v>
      </c>
      <c r="C97" s="39">
        <f>_xlfn.MAXIFS(staff[Salary],staff[Gender],C95)</f>
        <v>120000</v>
      </c>
      <c r="D97" s="39">
        <f>_xlfn.MAXIFS(staff[Salary],staff[Gender],D95)</f>
        <v>120000</v>
      </c>
      <c r="E97" s="40"/>
      <c r="I97" s="29"/>
    </row>
    <row r="98" spans="1:9">
      <c r="A98" s="7" t="s">
        <v>783</v>
      </c>
      <c r="B98" s="39">
        <f>LARGE(staff[Salary],F98)</f>
        <v>120000</v>
      </c>
      <c r="C98" s="39" cm="1">
        <f t="array" ref="C98">LARGE(_xlfn._xlws.FILTER(staff[Salary],staff[Gender]="Male"),F98)</f>
        <v>120000</v>
      </c>
      <c r="D98" s="39" cm="1">
        <f t="array" ref="D98">LARGE(_xlfn._xlws.FILTER(staff[Salary],staff[Gender]=D95),F98)</f>
        <v>120000</v>
      </c>
      <c r="E98" s="40"/>
      <c r="F98">
        <v>1</v>
      </c>
      <c r="I98" s="29"/>
    </row>
    <row r="99" spans="1:9">
      <c r="B99" s="39">
        <f>LARGE(staff[Salary],F99)</f>
        <v>120000</v>
      </c>
      <c r="C99" s="39" cm="1">
        <f t="array" ref="C99">LARGE(_xlfn._xlws.FILTER(staff[Salary],staff[Gender]="Male"),F99)</f>
        <v>119022.49</v>
      </c>
      <c r="D99" s="39" cm="1">
        <f t="array" ref="D99">LARGE(_xlfn._xlws.FILTER(staff[Salary],staff[Gender]="Female"),F99)</f>
        <v>118442.54</v>
      </c>
      <c r="E99" s="40"/>
      <c r="F99">
        <v>2</v>
      </c>
      <c r="I99" s="29"/>
    </row>
    <row r="100" spans="1:9">
      <c r="B100" s="39">
        <f>LARGE(staff[Salary],F100)</f>
        <v>119022.49</v>
      </c>
      <c r="C100" s="39" cm="1">
        <f t="array" ref="C100">LARGE(_xlfn._xlws.FILTER(staff[Salary],staff[Gender]="Male"),F100)</f>
        <v>118976.16</v>
      </c>
      <c r="D100" s="39" cm="1">
        <f t="array" ref="D100">LARGE(_xlfn._xlws.FILTER(staff[Salary],staff[Gender]="Female"),F100)</f>
        <v>116767.63</v>
      </c>
      <c r="E100" s="40"/>
      <c r="F100">
        <v>3</v>
      </c>
      <c r="I100" s="29"/>
    </row>
    <row r="101" spans="1:9">
      <c r="B101" s="39">
        <f>LARGE(staff[Salary],F101)</f>
        <v>118976.16</v>
      </c>
      <c r="C101" s="39" cm="1">
        <f t="array" ref="C101">LARGE(_xlfn._xlws.FILTER(staff[Salary],staff[Gender]="Male"),F101)</f>
        <v>115191.38</v>
      </c>
      <c r="D101" s="39" cm="1">
        <f t="array" ref="D101">LARGE(_xlfn._xlws.FILTER(staff[Salary],staff[Gender]="Female"),F101)</f>
        <v>116767.63</v>
      </c>
      <c r="E101" s="40"/>
      <c r="F101">
        <v>4</v>
      </c>
      <c r="I101" s="29"/>
    </row>
    <row r="102" spans="1:9">
      <c r="B102" s="39">
        <f>LARGE(staff[Salary],F102)</f>
        <v>118442.54</v>
      </c>
      <c r="C102" s="39" cm="1">
        <f t="array" ref="C102">LARGE(_xlfn._xlws.FILTER(staff[Salary],staff[Gender]="Male"),F102)</f>
        <v>114691.03</v>
      </c>
      <c r="D102" s="39" cm="1">
        <f t="array" ref="D102">LARGE(_xlfn._xlws.FILTER(staff[Salary],staff[Gender]="Female"),F102)</f>
        <v>114772.32</v>
      </c>
      <c r="E102" s="40"/>
      <c r="F102">
        <v>5</v>
      </c>
      <c r="I102" s="29"/>
    </row>
    <row r="103" spans="1:9">
      <c r="B103" s="40"/>
      <c r="C103" s="40"/>
      <c r="D103" s="40"/>
      <c r="E103" s="40"/>
      <c r="I103" s="29"/>
    </row>
    <row r="104" spans="1:9">
      <c r="A104" s="53" t="s">
        <v>785</v>
      </c>
      <c r="B104" s="53"/>
      <c r="C104" s="53"/>
      <c r="D104" s="53"/>
      <c r="E104" s="44"/>
      <c r="I104" s="29"/>
    </row>
    <row r="105" spans="1:9">
      <c r="A105" t="s">
        <v>789</v>
      </c>
      <c r="B105" s="39" t="e" cm="1">
        <f t="array" aca="1" ref="B105" ca="1">TAKE(_xlfn._xlws.SORT(staff[Salary],,-1),5)</f>
        <v>#NAME?</v>
      </c>
      <c r="C105" s="39"/>
      <c r="D105" s="39"/>
      <c r="E105" s="40"/>
      <c r="I105" s="29"/>
    </row>
    <row r="106" spans="1:9">
      <c r="B106" s="39"/>
      <c r="C106" s="39"/>
      <c r="D106" s="39"/>
      <c r="E106" s="40"/>
      <c r="I106" s="29"/>
    </row>
    <row r="107" spans="1:9">
      <c r="B107" s="39"/>
      <c r="C107" s="39"/>
      <c r="D107" s="39"/>
      <c r="E107" s="40"/>
      <c r="I107" s="29"/>
    </row>
    <row r="108" spans="1:9">
      <c r="B108" s="39"/>
      <c r="C108" s="39"/>
      <c r="D108" s="39"/>
      <c r="E108" s="40"/>
      <c r="I108" s="29"/>
    </row>
    <row r="109" spans="1:9">
      <c r="B109" s="39"/>
      <c r="C109" s="39"/>
      <c r="D109" s="39"/>
      <c r="E109" s="40"/>
      <c r="I109" s="29"/>
    </row>
    <row r="110" spans="1:9">
      <c r="I110" s="29"/>
    </row>
    <row r="111" spans="1:9" ht="23.4">
      <c r="A111" s="47" t="s">
        <v>748</v>
      </c>
      <c r="B111" s="47"/>
      <c r="C111" s="47"/>
      <c r="D111" s="47"/>
      <c r="E111" s="46"/>
      <c r="I111" s="29"/>
    </row>
    <row r="112" spans="1:9">
      <c r="I112" s="29"/>
    </row>
    <row r="113" spans="1:9">
      <c r="A113" s="26" t="s">
        <v>4</v>
      </c>
      <c r="B113" t="s">
        <v>786</v>
      </c>
      <c r="C113">
        <f>COUNTA(_xlfn.ANCHORARRAY(A114))</f>
        <v>12</v>
      </c>
      <c r="I113" s="29"/>
    </row>
    <row r="114" spans="1:9">
      <c r="A114" t="str" cm="1">
        <f t="array" ref="A114:A125">_xlfn.UNIQUE(staff[Department])</f>
        <v>Training</v>
      </c>
      <c r="B114" t="str">
        <f>_xlfn.TEXTJOIN(", ",TRUE,_xlfn.ANCHORARRAY(A114))</f>
        <v>Training, Business Development, Engineering, Marketing, Legal, Accounting, Human Resources, Research and Development, Services, Product Management, Support, Sales</v>
      </c>
      <c r="I114" s="29"/>
    </row>
    <row r="115" spans="1:9">
      <c r="A115" t="str">
        <v>Business Development</v>
      </c>
      <c r="I115" s="29"/>
    </row>
    <row r="116" spans="1:9">
      <c r="A116" t="str">
        <v>Engineering</v>
      </c>
      <c r="I116" s="29"/>
    </row>
    <row r="117" spans="1:9">
      <c r="A117" t="str">
        <v>Marketing</v>
      </c>
      <c r="I117" s="29"/>
    </row>
    <row r="118" spans="1:9">
      <c r="A118" t="str">
        <v>Legal</v>
      </c>
      <c r="I118" s="29"/>
    </row>
    <row r="119" spans="1:9">
      <c r="A119" t="str">
        <v>Accounting</v>
      </c>
      <c r="I119" s="29"/>
    </row>
    <row r="120" spans="1:9">
      <c r="A120" t="str">
        <v>Human Resources</v>
      </c>
      <c r="I120" s="29"/>
    </row>
    <row r="121" spans="1:9">
      <c r="A121" t="str">
        <v>Research and Development</v>
      </c>
      <c r="I121" s="29"/>
    </row>
    <row r="122" spans="1:9">
      <c r="A122" t="str">
        <v>Services</v>
      </c>
      <c r="I122" s="29"/>
    </row>
    <row r="123" spans="1:9">
      <c r="A123" t="str">
        <v>Product Management</v>
      </c>
      <c r="I123" s="29"/>
    </row>
    <row r="124" spans="1:9">
      <c r="A124" t="str">
        <v>Support</v>
      </c>
      <c r="I124" s="29"/>
    </row>
    <row r="125" spans="1:9">
      <c r="A125" t="str">
        <v>Sales</v>
      </c>
      <c r="I125" s="29"/>
    </row>
    <row r="126" spans="1:9">
      <c r="I126" s="29"/>
    </row>
    <row r="127" spans="1:9" ht="23.4">
      <c r="A127" s="47" t="s">
        <v>787</v>
      </c>
      <c r="B127" s="47"/>
      <c r="C127" s="47"/>
      <c r="D127" s="47"/>
      <c r="E127" s="47"/>
      <c r="F127" s="47"/>
      <c r="G127" s="47"/>
      <c r="I127" s="29"/>
    </row>
    <row r="128" spans="1:9">
      <c r="A128" t="s">
        <v>788</v>
      </c>
      <c r="B128" s="34" t="s">
        <v>501</v>
      </c>
      <c r="I128" s="29"/>
    </row>
    <row r="129" spans="1:20">
      <c r="I129" s="29"/>
    </row>
    <row r="130" spans="1:20" ht="15" thickBot="1">
      <c r="A130" t="s">
        <v>1</v>
      </c>
      <c r="B130" s="41" t="str">
        <f>IFERROR(VLOOKUP($B$128,staff[],C130,FALSE),"Not Found")</f>
        <v>Edd</v>
      </c>
      <c r="C130" s="43">
        <v>2</v>
      </c>
      <c r="D130" t="str">
        <f>_xlfn.XLOOKUP(B128,staff[Emp ID],staff[First Name],"Not Found",0,1)</f>
        <v>Edd</v>
      </c>
      <c r="I130" s="29"/>
    </row>
    <row r="131" spans="1:20" ht="15.6" thickTop="1" thickBot="1">
      <c r="A131" t="s">
        <v>2</v>
      </c>
      <c r="B131" s="41" t="str">
        <f>IFERROR(VLOOKUP($B$128,staff[],C131,FALSE),"Not Found")</f>
        <v>MacKnockiter</v>
      </c>
      <c r="C131" s="43">
        <v>3</v>
      </c>
      <c r="I131" s="29"/>
    </row>
    <row r="132" spans="1:20" ht="15.6" thickTop="1" thickBot="1">
      <c r="A132" t="s">
        <v>4</v>
      </c>
      <c r="B132" s="41" t="str">
        <f>IFERROR(VLOOKUP($B$128,staff[],C132,FALSE),"Not Found")</f>
        <v>Accounting</v>
      </c>
      <c r="C132" s="43">
        <v>5</v>
      </c>
      <c r="I132" s="29"/>
    </row>
    <row r="133" spans="1:20" ht="15.6" thickTop="1" thickBot="1">
      <c r="A133" t="s">
        <v>5</v>
      </c>
      <c r="B133" s="41">
        <f>IFERROR(VLOOKUP($B$128,staff[],C133,FALSE),"Not Found")</f>
        <v>119022.49</v>
      </c>
      <c r="C133" s="43">
        <v>6</v>
      </c>
      <c r="I133" s="29"/>
    </row>
    <row r="134" spans="1:20" ht="15" thickTop="1">
      <c r="I134" s="29"/>
    </row>
    <row r="135" spans="1:20" ht="23.4">
      <c r="A135" s="47" t="s">
        <v>790</v>
      </c>
      <c r="B135" s="47"/>
      <c r="C135" s="47"/>
      <c r="D135" s="47"/>
      <c r="E135" s="47"/>
      <c r="F135" s="47"/>
      <c r="G135" s="47"/>
      <c r="I135" s="29"/>
    </row>
    <row r="136" spans="1:20">
      <c r="I136" s="29"/>
    </row>
    <row r="137" spans="1:20">
      <c r="A137" t="s">
        <v>791</v>
      </c>
      <c r="B137" s="34" t="s">
        <v>221</v>
      </c>
      <c r="D137" s="42"/>
      <c r="E137" s="42"/>
      <c r="F137" s="34" t="s">
        <v>792</v>
      </c>
      <c r="H137" s="34" t="s">
        <v>792</v>
      </c>
    </row>
    <row r="138" spans="1:20">
      <c r="B138">
        <f>MATCH(B137,staff[Last Name],0)</f>
        <v>43</v>
      </c>
      <c r="H138" t="str" cm="1">
        <f t="array" ref="H138:T138">_xlfn.XLOOKUP(B137,staff[Last Name],staff[])</f>
        <v>PR03532</v>
      </c>
      <c r="I138" t="str">
        <v>Crawford</v>
      </c>
      <c r="J138" t="str">
        <v>Scad</v>
      </c>
      <c r="K138" t="str">
        <v>Male</v>
      </c>
      <c r="L138" t="str">
        <v>Human Resources</v>
      </c>
      <c r="M138">
        <v>72876.91</v>
      </c>
      <c r="N138" t="str">
        <v>50k to 100k</v>
      </c>
      <c r="O138">
        <v>43837</v>
      </c>
      <c r="P138">
        <v>1</v>
      </c>
      <c r="Q138" t="str">
        <v>Permanent</v>
      </c>
      <c r="R138" t="str">
        <v>Remote</v>
      </c>
      <c r="S138">
        <v>4.4575342465753423</v>
      </c>
      <c r="T138" t="str">
        <v>Full time</v>
      </c>
    </row>
    <row r="139" spans="1:20" ht="15" thickBot="1">
      <c r="A139" t="s">
        <v>788</v>
      </c>
      <c r="B139" s="41" t="str" cm="1">
        <f t="array" ref="B139">INDEX(staff[Emp ID],B138)</f>
        <v>PR03532</v>
      </c>
      <c r="D139" t="s">
        <v>1</v>
      </c>
      <c r="F139" t="str">
        <f>_xlfn.XLOOKUP(B128,staff[Emp ID],staff[First Name],"Not Found")</f>
        <v>Edd</v>
      </c>
      <c r="H139" t="str" cm="1">
        <f t="array" ref="H139:H151">TRANSPOSE(_xlfn.XLOOKUP(B137,staff[Last Name],staff[]))</f>
        <v>PR03532</v>
      </c>
    </row>
    <row r="140" spans="1:20" ht="15.6" thickTop="1" thickBot="1">
      <c r="A140" t="s">
        <v>4</v>
      </c>
      <c r="B140" s="41" t="str" cm="1">
        <f t="array" ref="B140">INDEX(staff[Department],B138)</f>
        <v>Human Resources</v>
      </c>
      <c r="D140" t="s">
        <v>2</v>
      </c>
      <c r="F140" t="str">
        <f>_xlfn.XLOOKUP(B128,staff[Emp ID],staff[Last Name],"Not Found")</f>
        <v>MacKnockiter</v>
      </c>
      <c r="H140" t="str">
        <v>Crawford</v>
      </c>
    </row>
    <row r="141" spans="1:20" ht="15.6" thickTop="1" thickBot="1">
      <c r="A141" t="s">
        <v>5</v>
      </c>
      <c r="B141" s="41" cm="1">
        <f t="array" ref="B141">INDEX(staff[Salary],B138)</f>
        <v>72876.91</v>
      </c>
      <c r="D141" t="s">
        <v>4</v>
      </c>
      <c r="F141" t="str">
        <f>_xlfn.XLOOKUP(B128,staff[Emp ID],staff[Department],"Not Found")</f>
        <v>Accounting</v>
      </c>
      <c r="H141" t="str">
        <v>Scad</v>
      </c>
    </row>
    <row r="142" spans="1:20" ht="15" thickTop="1">
      <c r="D142" t="s">
        <v>5</v>
      </c>
      <c r="F142">
        <f>_xlfn.XLOOKUP(B128,staff[Emp ID],staff[Salary],"Not Found",0,1)</f>
        <v>119022.49</v>
      </c>
      <c r="H142" t="str">
        <v>Male</v>
      </c>
    </row>
    <row r="143" spans="1:20">
      <c r="H143" t="str">
        <v>Human Resources</v>
      </c>
      <c r="I143" s="29"/>
    </row>
    <row r="144" spans="1:20">
      <c r="H144">
        <v>72876.91</v>
      </c>
      <c r="I144" s="29"/>
    </row>
    <row r="145" spans="1:12">
      <c r="H145" t="str">
        <v>50k to 100k</v>
      </c>
      <c r="I145" s="29"/>
    </row>
    <row r="146" spans="1:12">
      <c r="H146">
        <v>43837</v>
      </c>
      <c r="I146" s="29"/>
    </row>
    <row r="147" spans="1:12">
      <c r="H147">
        <v>1</v>
      </c>
      <c r="I147" s="29"/>
    </row>
    <row r="148" spans="1:12">
      <c r="H148" t="str">
        <v>Permanent</v>
      </c>
      <c r="I148" s="29"/>
    </row>
    <row r="149" spans="1:12">
      <c r="H149" t="str">
        <v>Remote</v>
      </c>
      <c r="I149" s="29"/>
    </row>
    <row r="150" spans="1:12">
      <c r="H150">
        <v>4.4575342465753423</v>
      </c>
      <c r="I150" s="29"/>
    </row>
    <row r="151" spans="1:12">
      <c r="A151" s="32" t="s">
        <v>765</v>
      </c>
      <c r="H151" t="str">
        <v>Full time</v>
      </c>
      <c r="I151" s="29"/>
    </row>
    <row r="152" spans="1:12">
      <c r="A152" t="e" cm="1" vm="1">
        <f t="array" ref="A152">_xlfn._xlws.FILTER(staff[],staff[Salary]&gt;120000)</f>
        <v>#VALUE!</v>
      </c>
      <c r="B152" t="s">
        <v>793</v>
      </c>
      <c r="I152" s="29"/>
    </row>
    <row r="153" spans="1:12">
      <c r="I153" s="29"/>
    </row>
    <row r="154" spans="1:12">
      <c r="I154" s="29"/>
    </row>
    <row r="155" spans="1:12" ht="23.4">
      <c r="A155" s="47" t="s">
        <v>794</v>
      </c>
      <c r="B155" s="47"/>
      <c r="C155" s="47"/>
      <c r="D155" s="47"/>
      <c r="E155" s="47"/>
      <c r="F155" s="47"/>
      <c r="G155" s="47"/>
      <c r="I155" s="29"/>
    </row>
    <row r="156" spans="1:12">
      <c r="I156" s="29"/>
    </row>
    <row r="157" spans="1:12">
      <c r="A157" s="54" t="s">
        <v>795</v>
      </c>
      <c r="B157" t="str" cm="1">
        <f t="array" ref="B157">_xlfn.XLOOKUP(MAX(staff[Salary]),staff[Salary],staff[First Name]&amp;" "&amp;staff[Last Name])</f>
        <v>Minerva Ricardot</v>
      </c>
      <c r="C157" s="55" t="s">
        <v>797</v>
      </c>
      <c r="I157" s="29"/>
    </row>
    <row r="158" spans="1:12">
      <c r="I158" s="29"/>
    </row>
    <row r="159" spans="1:12">
      <c r="A159" s="54" t="s">
        <v>796</v>
      </c>
      <c r="B159" t="str" cm="1">
        <f t="array" ref="B159:B160">_xlfn._xlws.FILTER(staff[First Name]&amp;" "&amp;staff[Last Name],staff[Salary]=MAX(staff[Salary]))</f>
        <v>Minerva Ricardot</v>
      </c>
      <c r="C159" s="55" t="s">
        <v>798</v>
      </c>
      <c r="H159" s="56" t="s">
        <v>799</v>
      </c>
      <c r="I159" s="56"/>
      <c r="J159" s="56"/>
      <c r="K159" s="56"/>
      <c r="L159" s="56"/>
    </row>
    <row r="160" spans="1:12">
      <c r="B160" t="str">
        <v>Mick Spraberry</v>
      </c>
      <c r="I160" s="29"/>
    </row>
    <row r="161" spans="1:15">
      <c r="I161" s="29"/>
    </row>
    <row r="162" spans="1:15">
      <c r="A162" s="54" t="s">
        <v>800</v>
      </c>
      <c r="B162" t="str" cm="1">
        <f t="array" ref="B162">_xlfn.TEXTJOIN(", ",,_xlfn._xlws.FILTER(staff[First Name]&amp;" "&amp;staff[Last Name],staff[Salary]=MAX(staff[Salary])))</f>
        <v>Minerva Ricardot, Mick Spraberry</v>
      </c>
      <c r="I162" s="29"/>
    </row>
    <row r="163" spans="1:15">
      <c r="I163" s="29"/>
    </row>
    <row r="164" spans="1:15">
      <c r="I164" s="29"/>
    </row>
    <row r="165" spans="1:15" ht="23.4">
      <c r="A165" s="47" t="s">
        <v>801</v>
      </c>
      <c r="B165" s="47"/>
      <c r="C165" s="47"/>
      <c r="D165" s="47"/>
      <c r="E165" s="47"/>
      <c r="F165" s="47"/>
      <c r="G165" s="47"/>
      <c r="I165" s="29"/>
    </row>
    <row r="166" spans="1:15">
      <c r="A166" s="54" t="s">
        <v>803</v>
      </c>
      <c r="B166" s="55" t="s">
        <v>804</v>
      </c>
      <c r="I166" s="29"/>
    </row>
    <row r="167" spans="1:15">
      <c r="B167" s="35" t="s">
        <v>802</v>
      </c>
      <c r="C167" s="35" t="s">
        <v>1</v>
      </c>
      <c r="D167" s="35" t="s">
        <v>2</v>
      </c>
      <c r="E167" s="35"/>
      <c r="F167" s="45" t="s">
        <v>805</v>
      </c>
      <c r="G167" s="35" t="s">
        <v>802</v>
      </c>
      <c r="H167" s="35" t="s">
        <v>1</v>
      </c>
      <c r="I167" s="35" t="s">
        <v>2</v>
      </c>
    </row>
    <row r="168" spans="1:15">
      <c r="B168" s="57" t="str" cm="1">
        <f t="array" ref="B168:D189">_xlfn._xlws.FILTER(staff[[Emp ID]:[Last Name]],MONTH(staff[Start Date])=3)</f>
        <v>PR00746</v>
      </c>
      <c r="C168" s="58" t="str">
        <v>Hogan</v>
      </c>
      <c r="D168" s="59" t="str">
        <v>Iles</v>
      </c>
      <c r="E168" s="61"/>
      <c r="G168" s="57" t="str" cm="1">
        <f t="array" ref="G168:I174">_xlfn._xlws.FILTER(staff[[Emp ID]:[Last Name]],LEFT(staff[First Name],1)="H")</f>
        <v>PR00246</v>
      </c>
      <c r="H168" s="58" t="str">
        <v>Husein</v>
      </c>
      <c r="I168" s="66" t="str">
        <v>Augar</v>
      </c>
    </row>
    <row r="169" spans="1:15">
      <c r="B169" s="60" t="str">
        <v>PR00893</v>
      </c>
      <c r="C169" s="61" t="str">
        <v>Vasavi</v>
      </c>
      <c r="D169" s="62" t="str">
        <v>Veeravasarapu</v>
      </c>
      <c r="E169" s="61"/>
      <c r="G169" s="60" t="str">
        <v>PR00746</v>
      </c>
      <c r="H169" s="61" t="str">
        <v>Hogan</v>
      </c>
      <c r="I169" s="67" t="str">
        <v>Iles</v>
      </c>
    </row>
    <row r="170" spans="1:15">
      <c r="B170" s="60" t="str">
        <v>SQ00022</v>
      </c>
      <c r="C170" s="61" t="str">
        <v>Carlin</v>
      </c>
      <c r="D170" s="62" t="str">
        <v>Demke</v>
      </c>
      <c r="E170" s="61"/>
      <c r="G170" s="60" t="str">
        <v>SQ04437</v>
      </c>
      <c r="H170" s="61" t="str">
        <v>Hephzibah</v>
      </c>
      <c r="I170" s="67" t="str">
        <v>Summerell</v>
      </c>
    </row>
    <row r="171" spans="1:15">
      <c r="B171" s="60" t="str">
        <v>SQ00105</v>
      </c>
      <c r="C171" s="61" t="str">
        <v>Sarayu</v>
      </c>
      <c r="D171" s="62" t="str">
        <v>Ragunathan</v>
      </c>
      <c r="E171" s="61"/>
      <c r="G171" s="60" t="str">
        <v>TN00214</v>
      </c>
      <c r="H171" s="61" t="str">
        <v>Hemavati</v>
      </c>
      <c r="I171" s="67" t="str">
        <v>Muthiah</v>
      </c>
    </row>
    <row r="172" spans="1:15">
      <c r="B172" s="60" t="str">
        <v>SQ01519</v>
      </c>
      <c r="C172" s="61" t="str">
        <v>Caron</v>
      </c>
      <c r="D172" s="62" t="str">
        <v>Kolakovic</v>
      </c>
      <c r="E172" s="61"/>
      <c r="G172" s="60" t="str">
        <v>TN04175</v>
      </c>
      <c r="H172" s="61" t="str">
        <v>Hinda</v>
      </c>
      <c r="I172" s="67" t="str">
        <v>Label</v>
      </c>
    </row>
    <row r="173" spans="1:15">
      <c r="B173" s="60" t="str">
        <v>SQ03112</v>
      </c>
      <c r="C173" s="61" t="str">
        <v>Kantimoy</v>
      </c>
      <c r="D173" s="62" t="str">
        <v>Pritish</v>
      </c>
      <c r="E173" s="61"/>
      <c r="G173" s="60" t="str">
        <v>TN04775</v>
      </c>
      <c r="H173" s="61" t="str">
        <v>Hridaynath</v>
      </c>
      <c r="I173" s="67" t="str">
        <v>Tendulkar</v>
      </c>
    </row>
    <row r="174" spans="1:15">
      <c r="B174" s="60" t="str">
        <v>SQ03625</v>
      </c>
      <c r="C174" s="61" t="str">
        <v>Fidela</v>
      </c>
      <c r="D174" s="62" t="str">
        <v>Artis</v>
      </c>
      <c r="E174" s="61"/>
      <c r="G174" s="63" t="str">
        <v>VT01996</v>
      </c>
      <c r="H174" s="64" t="str">
        <v>Hali</v>
      </c>
      <c r="I174" s="68" t="str">
        <v>Behnecke</v>
      </c>
    </row>
    <row r="175" spans="1:15">
      <c r="B175" s="60" t="str">
        <v>SQ04612</v>
      </c>
      <c r="C175" s="61" t="str">
        <v>Mick</v>
      </c>
      <c r="D175" s="62" t="str">
        <v>Spraberry</v>
      </c>
      <c r="E175" s="61"/>
      <c r="H175" s="71" t="s">
        <v>807</v>
      </c>
      <c r="I175" s="71"/>
      <c r="J175" s="71"/>
      <c r="K175" s="71"/>
      <c r="L175" s="71"/>
      <c r="M175" s="71"/>
      <c r="N175" s="71"/>
      <c r="O175" s="33"/>
    </row>
    <row r="176" spans="1:15">
      <c r="B176" s="60" t="str">
        <v>TN01256</v>
      </c>
      <c r="C176" s="61" t="str">
        <v>Shattesh</v>
      </c>
      <c r="D176" s="62" t="str">
        <v>Utpat</v>
      </c>
      <c r="E176" s="61"/>
      <c r="F176" s="69" t="s">
        <v>806</v>
      </c>
      <c r="G176" t="str" cm="1">
        <f t="array" ref="G176:N237">_xlfn._xlws.FILTER(staff[[Emp ID]:[Start Date]],(staff[Gender]="Female")*(WEEKDAY(staff[Start Date],2)=1))</f>
        <v>PR00007</v>
      </c>
      <c r="H176" t="str">
        <v>Torrance</v>
      </c>
      <c r="I176" s="29" t="str">
        <v>Collier</v>
      </c>
      <c r="J176" t="str">
        <v>Female</v>
      </c>
      <c r="K176" t="str">
        <v>Training</v>
      </c>
      <c r="L176">
        <v>96135.75</v>
      </c>
      <c r="M176" t="str">
        <v>50k to 100k</v>
      </c>
      <c r="N176" s="29">
        <v>44025</v>
      </c>
    </row>
    <row r="177" spans="2:14">
      <c r="B177" s="60" t="str">
        <v>TN01256</v>
      </c>
      <c r="C177" s="61" t="str">
        <v>Sawini</v>
      </c>
      <c r="D177" s="62" t="str">
        <v>Chandan</v>
      </c>
      <c r="E177" s="61"/>
      <c r="G177" t="str">
        <v>PR00095</v>
      </c>
      <c r="H177" t="str">
        <v>Devrat</v>
      </c>
      <c r="I177" s="29" t="str">
        <v>Damarsingh</v>
      </c>
      <c r="J177" t="str">
        <v>Female</v>
      </c>
      <c r="K177" t="str">
        <v>Business Development</v>
      </c>
      <c r="L177">
        <v>70649.460000000006</v>
      </c>
      <c r="M177" t="str">
        <v>50k to 100k</v>
      </c>
      <c r="N177" s="29">
        <v>43843</v>
      </c>
    </row>
    <row r="178" spans="2:14">
      <c r="B178" s="60" t="str">
        <v>TN01601</v>
      </c>
      <c r="C178" s="61" t="str">
        <v>Melva</v>
      </c>
      <c r="D178" s="62" t="str">
        <v>Jickells</v>
      </c>
      <c r="E178" s="61"/>
      <c r="G178" t="str">
        <v>PR00113</v>
      </c>
      <c r="H178" t="str">
        <v>Van</v>
      </c>
      <c r="I178" s="29" t="str">
        <v>Tuxwell</v>
      </c>
      <c r="J178" t="str">
        <v>Female</v>
      </c>
      <c r="K178" t="str">
        <v>Business Development</v>
      </c>
      <c r="L178">
        <v>80695.740000000005</v>
      </c>
      <c r="M178" t="str">
        <v>50k to 100k</v>
      </c>
      <c r="N178" s="29">
        <v>43360</v>
      </c>
    </row>
    <row r="179" spans="2:14">
      <c r="B179" s="60" t="str">
        <v>TN01601</v>
      </c>
      <c r="C179" s="61" t="str">
        <v>Melva</v>
      </c>
      <c r="D179" s="62" t="str">
        <v>Jickells</v>
      </c>
      <c r="E179" s="61"/>
      <c r="G179" t="str">
        <v>PR00113</v>
      </c>
      <c r="H179" t="str">
        <v>Van</v>
      </c>
      <c r="I179" s="29" t="str">
        <v>Tuxwell</v>
      </c>
      <c r="J179" t="str">
        <v>Female</v>
      </c>
      <c r="K179" t="str">
        <v>Business Development</v>
      </c>
      <c r="L179">
        <v>80695.740000000005</v>
      </c>
      <c r="M179" t="str">
        <v>50k to 100k</v>
      </c>
      <c r="N179" s="29">
        <v>43360</v>
      </c>
    </row>
    <row r="180" spans="2:14">
      <c r="B180" s="60" t="str">
        <v>TN04892</v>
      </c>
      <c r="C180" s="61" t="str">
        <v>Luca</v>
      </c>
      <c r="D180" s="62" t="str">
        <v>Wolstenholme</v>
      </c>
      <c r="E180" s="61"/>
      <c r="G180" t="str">
        <v>PR00576</v>
      </c>
      <c r="H180" t="str">
        <v>Lalitchandra</v>
      </c>
      <c r="I180" s="29" t="str">
        <v>Vadali</v>
      </c>
      <c r="J180" t="str">
        <v>Female</v>
      </c>
      <c r="K180" t="str">
        <v>Legal</v>
      </c>
      <c r="L180">
        <v>63705.4</v>
      </c>
      <c r="M180" t="str">
        <v>50k to 100k</v>
      </c>
      <c r="N180" s="29">
        <v>43682</v>
      </c>
    </row>
    <row r="181" spans="2:14">
      <c r="B181" s="60" t="str">
        <v>VT01762</v>
      </c>
      <c r="C181" s="61" t="str">
        <v>Geena</v>
      </c>
      <c r="D181" s="62" t="str">
        <v>Raghavanpillai</v>
      </c>
      <c r="E181" s="61"/>
      <c r="G181" t="str">
        <v>PR00916</v>
      </c>
      <c r="H181" t="str">
        <v>Inger</v>
      </c>
      <c r="I181" s="29" t="str">
        <v>Chapelhow</v>
      </c>
      <c r="J181" t="str">
        <v>Female</v>
      </c>
      <c r="K181" t="str">
        <v>Research and Development</v>
      </c>
      <c r="L181">
        <v>84309.95</v>
      </c>
      <c r="M181" t="str">
        <v>50k to 100k</v>
      </c>
      <c r="N181" s="29">
        <v>44501</v>
      </c>
    </row>
    <row r="182" spans="2:14">
      <c r="B182" s="60" t="str">
        <v>VT01803</v>
      </c>
      <c r="C182" s="61" t="str">
        <v>Freddy</v>
      </c>
      <c r="D182" s="62" t="str">
        <v>Linford</v>
      </c>
      <c r="E182" s="61"/>
      <c r="G182" t="str">
        <v>PR01383</v>
      </c>
      <c r="H182" t="str">
        <v>Addi</v>
      </c>
      <c r="I182" s="29" t="str">
        <v>Studdeard</v>
      </c>
      <c r="J182" t="str">
        <v>Female</v>
      </c>
      <c r="K182" t="str">
        <v>Product Management</v>
      </c>
      <c r="L182">
        <v>72502.61</v>
      </c>
      <c r="M182" t="str">
        <v>50k to 100k</v>
      </c>
      <c r="N182" s="29">
        <v>44235</v>
      </c>
    </row>
    <row r="183" spans="2:14">
      <c r="B183" s="60" t="str">
        <v>VT02417</v>
      </c>
      <c r="C183" s="61" t="str">
        <v>Evangelina</v>
      </c>
      <c r="D183" s="62" t="str">
        <v>Lergan</v>
      </c>
      <c r="E183" s="61"/>
      <c r="G183" t="str">
        <v>PR02016</v>
      </c>
      <c r="H183" t="str">
        <v>Iris</v>
      </c>
      <c r="I183" s="29" t="str">
        <v>Wagg</v>
      </c>
      <c r="J183" t="str">
        <v>Female</v>
      </c>
      <c r="K183" t="str">
        <v>Engineering</v>
      </c>
      <c r="L183">
        <v>58861.19</v>
      </c>
      <c r="M183" t="str">
        <v>50k to 100k</v>
      </c>
      <c r="N183" s="29">
        <v>43654</v>
      </c>
    </row>
    <row r="184" spans="2:14">
      <c r="B184" s="60" t="str">
        <v>VT03421</v>
      </c>
      <c r="C184" s="61" t="str">
        <v>Alic</v>
      </c>
      <c r="D184" s="62" t="str">
        <v>Bagg</v>
      </c>
      <c r="E184" s="61"/>
      <c r="G184" t="str">
        <v>PR02113</v>
      </c>
      <c r="H184" t="str">
        <v>Beverie</v>
      </c>
      <c r="I184" s="29" t="str">
        <v>Moffet</v>
      </c>
      <c r="J184" t="str">
        <v>Female</v>
      </c>
      <c r="K184" t="str">
        <v>Support</v>
      </c>
      <c r="L184">
        <v>75974.990000000005</v>
      </c>
      <c r="M184" t="str">
        <v>50k to 100k</v>
      </c>
      <c r="N184" s="29">
        <v>44172</v>
      </c>
    </row>
    <row r="185" spans="2:14">
      <c r="B185" s="60" t="str">
        <v>VT03421</v>
      </c>
      <c r="C185" s="61" t="str">
        <v>Alic</v>
      </c>
      <c r="D185" s="62" t="str">
        <v>Bagg</v>
      </c>
      <c r="E185" s="61"/>
      <c r="G185" t="str">
        <v>PR02275</v>
      </c>
      <c r="H185" t="str">
        <v>Louise</v>
      </c>
      <c r="I185" s="29" t="str">
        <v>Lamming</v>
      </c>
      <c r="J185" t="str">
        <v>Female</v>
      </c>
      <c r="K185" t="str">
        <v>Sales</v>
      </c>
      <c r="L185">
        <v>41934.71</v>
      </c>
      <c r="M185" t="str">
        <v>Under 50k</v>
      </c>
      <c r="N185" s="29">
        <v>43780</v>
      </c>
    </row>
    <row r="186" spans="2:14">
      <c r="B186" s="60" t="str">
        <v>VT03993</v>
      </c>
      <c r="C186" s="61" t="str">
        <v>Dulce</v>
      </c>
      <c r="D186" s="62" t="str">
        <v>Colbeck</v>
      </c>
      <c r="E186" s="61"/>
      <c r="G186" t="str">
        <v>PR02436</v>
      </c>
      <c r="H186" t="str">
        <v>Marmaduke</v>
      </c>
      <c r="I186" s="29" t="str">
        <v>Worssam</v>
      </c>
      <c r="J186" t="str">
        <v>Female</v>
      </c>
      <c r="K186" t="str">
        <v>Engineering</v>
      </c>
      <c r="L186">
        <v>78378.2</v>
      </c>
      <c r="M186" t="str">
        <v>50k to 100k</v>
      </c>
      <c r="N186" s="29">
        <v>43465</v>
      </c>
    </row>
    <row r="187" spans="2:14">
      <c r="B187" s="60" t="str">
        <v>VT04028</v>
      </c>
      <c r="C187" s="61" t="str">
        <v>Michale</v>
      </c>
      <c r="D187" s="62" t="str">
        <v>Rolf</v>
      </c>
      <c r="E187" s="61"/>
      <c r="G187" t="str">
        <v>PR02603</v>
      </c>
      <c r="H187" t="str">
        <v>Dinanath</v>
      </c>
      <c r="I187" s="29" t="str">
        <v>Simhambhatla</v>
      </c>
      <c r="J187" t="str">
        <v>Female</v>
      </c>
      <c r="K187" t="str">
        <v>Human Resources</v>
      </c>
      <c r="L187">
        <v>61994.76</v>
      </c>
      <c r="M187" t="str">
        <v>50k to 100k</v>
      </c>
      <c r="N187" s="29">
        <v>43794</v>
      </c>
    </row>
    <row r="188" spans="2:14">
      <c r="B188" s="60" t="str">
        <v>VT04028</v>
      </c>
      <c r="C188" s="61" t="str">
        <v>Michale</v>
      </c>
      <c r="D188" s="62" t="str">
        <v>Rolf</v>
      </c>
      <c r="E188" s="61"/>
      <c r="G188" t="str">
        <v>PR03158</v>
      </c>
      <c r="H188" t="str">
        <v>Danica</v>
      </c>
      <c r="I188" s="29" t="str">
        <v>Nayshe</v>
      </c>
      <c r="J188" t="str">
        <v>Female</v>
      </c>
      <c r="K188" t="str">
        <v>Services</v>
      </c>
      <c r="L188">
        <v>89690.38</v>
      </c>
      <c r="M188" t="str">
        <v>50k to 100k</v>
      </c>
      <c r="N188" s="29">
        <v>43206</v>
      </c>
    </row>
    <row r="189" spans="2:14">
      <c r="B189" s="63" t="str">
        <v>VT04415</v>
      </c>
      <c r="C189" s="64" t="str">
        <v>Malory</v>
      </c>
      <c r="D189" s="65" t="str">
        <v>Biles</v>
      </c>
      <c r="E189" s="61"/>
      <c r="G189" t="str">
        <v>PR04380</v>
      </c>
      <c r="H189" t="str">
        <v>Van</v>
      </c>
      <c r="I189" s="29" t="str">
        <v>Tuxwell</v>
      </c>
      <c r="J189" t="str">
        <v>Female</v>
      </c>
      <c r="K189" t="str">
        <v>Business Development</v>
      </c>
      <c r="L189">
        <v>80695.740000000005</v>
      </c>
      <c r="M189" t="str">
        <v>50k to 100k</v>
      </c>
      <c r="N189" s="29">
        <v>43787</v>
      </c>
    </row>
    <row r="190" spans="2:14">
      <c r="G190" t="str">
        <v>PR04446</v>
      </c>
      <c r="H190" t="str">
        <v>Sameer</v>
      </c>
      <c r="I190" s="29" t="str">
        <v>Shashank</v>
      </c>
      <c r="J190" t="str">
        <v>Female</v>
      </c>
      <c r="K190" t="str">
        <v>Research and Development</v>
      </c>
      <c r="L190">
        <v>92336.08</v>
      </c>
      <c r="M190" t="str">
        <v>50k to 100k</v>
      </c>
      <c r="N190" s="29">
        <v>44431</v>
      </c>
    </row>
    <row r="191" spans="2:14">
      <c r="G191" t="str">
        <v>PR04473</v>
      </c>
      <c r="H191" t="str">
        <v>Wyn</v>
      </c>
      <c r="I191" s="29" t="str">
        <v>Treadger</v>
      </c>
      <c r="J191" t="str">
        <v>Female</v>
      </c>
      <c r="K191" t="str">
        <v>Business Development</v>
      </c>
      <c r="L191">
        <v>69192.850000000006</v>
      </c>
      <c r="M191" t="str">
        <v>50k to 100k</v>
      </c>
      <c r="N191" s="29">
        <v>44305</v>
      </c>
    </row>
    <row r="192" spans="2:14">
      <c r="G192" t="str">
        <v>PR04686</v>
      </c>
      <c r="H192" t="str">
        <v>Oona</v>
      </c>
      <c r="I192" s="29" t="str">
        <v>Donan</v>
      </c>
      <c r="J192" t="str">
        <v>Female</v>
      </c>
      <c r="K192" t="str">
        <v>Business Development</v>
      </c>
      <c r="L192">
        <v>98000</v>
      </c>
      <c r="M192" t="str">
        <v>50k to 100k</v>
      </c>
      <c r="N192" s="29">
        <v>43710</v>
      </c>
    </row>
    <row r="193" spans="7:14">
      <c r="G193" t="str">
        <v>SQ00105</v>
      </c>
      <c r="H193" t="str">
        <v>Sarayu</v>
      </c>
      <c r="I193" s="29" t="str">
        <v>Ragunathan</v>
      </c>
      <c r="J193" t="str">
        <v>Female</v>
      </c>
      <c r="K193" t="str">
        <v>Training</v>
      </c>
      <c r="L193">
        <v>86010.54</v>
      </c>
      <c r="M193" t="str">
        <v>50k to 100k</v>
      </c>
      <c r="N193" s="29">
        <v>43164</v>
      </c>
    </row>
    <row r="194" spans="7:14">
      <c r="G194" t="str">
        <v>SQ00841</v>
      </c>
      <c r="H194" t="str">
        <v>Bhuvan</v>
      </c>
      <c r="I194" s="29" t="str">
        <v>Pals</v>
      </c>
      <c r="J194" t="str">
        <v>Female</v>
      </c>
      <c r="K194" t="str">
        <v>Services</v>
      </c>
      <c r="L194">
        <v>89690.38</v>
      </c>
      <c r="M194" t="str">
        <v>50k to 100k</v>
      </c>
      <c r="N194" s="29">
        <v>43213</v>
      </c>
    </row>
    <row r="195" spans="7:14">
      <c r="G195" t="str">
        <v>SQ00914</v>
      </c>
      <c r="H195" t="str">
        <v>Duran</v>
      </c>
      <c r="I195" s="29" t="str">
        <v>Appala</v>
      </c>
      <c r="J195" t="str">
        <v>Female</v>
      </c>
      <c r="K195" t="str">
        <v>Product Management</v>
      </c>
      <c r="L195">
        <v>38438.239999999998</v>
      </c>
      <c r="M195" t="str">
        <v>Under 50k</v>
      </c>
      <c r="N195" s="29">
        <v>43962</v>
      </c>
    </row>
    <row r="196" spans="7:14">
      <c r="G196" t="str">
        <v>SQ00914</v>
      </c>
      <c r="H196" t="str">
        <v>Karuna</v>
      </c>
      <c r="I196" s="29" t="str">
        <v>Pashupathy</v>
      </c>
      <c r="J196" t="str">
        <v>Female</v>
      </c>
      <c r="K196" t="str">
        <v>Product Management</v>
      </c>
      <c r="L196">
        <v>38438.239999999998</v>
      </c>
      <c r="M196" t="str">
        <v>Under 50k</v>
      </c>
      <c r="N196" s="29">
        <v>43962</v>
      </c>
    </row>
    <row r="197" spans="7:14">
      <c r="G197" t="str">
        <v>SQ01402</v>
      </c>
      <c r="H197" t="str">
        <v>Sahaj</v>
      </c>
      <c r="I197" s="29" t="str">
        <v>Jonnalagadda</v>
      </c>
      <c r="J197" t="str">
        <v>Female</v>
      </c>
      <c r="K197" t="str">
        <v>Engineering</v>
      </c>
      <c r="L197">
        <v>44403.77</v>
      </c>
      <c r="M197" t="str">
        <v>Under 50k</v>
      </c>
      <c r="N197" s="29">
        <v>43416</v>
      </c>
    </row>
    <row r="198" spans="7:14">
      <c r="G198" t="str">
        <v>SQ01730</v>
      </c>
      <c r="H198" t="str">
        <v>Austine</v>
      </c>
      <c r="I198" s="29" t="str">
        <v>Littlewood</v>
      </c>
      <c r="J198" t="str">
        <v>Female</v>
      </c>
      <c r="K198" t="str">
        <v>Services</v>
      </c>
      <c r="L198">
        <v>32269.91</v>
      </c>
      <c r="M198" t="str">
        <v>Under 50k</v>
      </c>
      <c r="N198" s="29">
        <v>43346</v>
      </c>
    </row>
    <row r="199" spans="7:14">
      <c r="G199" t="str">
        <v>SQ02174</v>
      </c>
      <c r="H199" t="str">
        <v>Sidoney</v>
      </c>
      <c r="I199" s="29" t="str">
        <v>Yitzhok</v>
      </c>
      <c r="J199" t="str">
        <v>Female</v>
      </c>
      <c r="K199" t="str">
        <v>Engineering</v>
      </c>
      <c r="L199">
        <v>118442.54</v>
      </c>
      <c r="M199" t="str">
        <v>Above 100k</v>
      </c>
      <c r="N199" s="29">
        <v>44193</v>
      </c>
    </row>
    <row r="200" spans="7:14">
      <c r="G200" t="str">
        <v>SQ03321</v>
      </c>
      <c r="H200" t="str">
        <v>Gradey</v>
      </c>
      <c r="I200" s="29" t="str">
        <v>Litton</v>
      </c>
      <c r="J200" t="str">
        <v>Female</v>
      </c>
      <c r="K200" t="str">
        <v>Accounting</v>
      </c>
      <c r="L200">
        <v>68887.839999999997</v>
      </c>
      <c r="M200" t="str">
        <v>50k to 100k</v>
      </c>
      <c r="N200" s="29">
        <v>43297</v>
      </c>
    </row>
    <row r="201" spans="7:14">
      <c r="G201" t="str">
        <v>SQ03350</v>
      </c>
      <c r="H201" t="str">
        <v>Felice</v>
      </c>
      <c r="I201" s="29" t="str">
        <v>McMurty</v>
      </c>
      <c r="J201" t="str">
        <v>Female</v>
      </c>
      <c r="K201" t="str">
        <v>Product Management</v>
      </c>
      <c r="L201">
        <v>66865.490000000005</v>
      </c>
      <c r="M201" t="str">
        <v>50k to 100k</v>
      </c>
      <c r="N201" s="29">
        <v>43514</v>
      </c>
    </row>
    <row r="202" spans="7:14">
      <c r="G202" t="str">
        <v>SQ03350</v>
      </c>
      <c r="H202" t="str">
        <v>Felice</v>
      </c>
      <c r="I202" s="29" t="str">
        <v>McMurty</v>
      </c>
      <c r="J202" t="str">
        <v>Female</v>
      </c>
      <c r="K202" t="str">
        <v>Product Management</v>
      </c>
      <c r="L202">
        <v>66865.490000000005</v>
      </c>
      <c r="M202" t="str">
        <v>50k to 100k</v>
      </c>
      <c r="N202" s="29">
        <v>43514</v>
      </c>
    </row>
    <row r="203" spans="7:14">
      <c r="G203" t="str">
        <v>SQ03491</v>
      </c>
      <c r="H203" t="str">
        <v>Freda</v>
      </c>
      <c r="I203" s="29" t="str">
        <v>Legan</v>
      </c>
      <c r="J203" t="str">
        <v>Female</v>
      </c>
      <c r="K203" t="str">
        <v>Sales</v>
      </c>
      <c r="L203">
        <v>102129.37</v>
      </c>
      <c r="M203" t="str">
        <v>Above 100k</v>
      </c>
      <c r="N203" s="29">
        <v>44396</v>
      </c>
    </row>
    <row r="204" spans="7:14">
      <c r="G204" t="str">
        <v>SQ03546</v>
      </c>
      <c r="H204" t="str">
        <v>Amlankusum</v>
      </c>
      <c r="I204" s="29" t="str">
        <v>Rajabhushan</v>
      </c>
      <c r="J204" t="str">
        <v>Female</v>
      </c>
      <c r="K204" t="str">
        <v>Legal</v>
      </c>
      <c r="L204">
        <v>75733.740000000005</v>
      </c>
      <c r="M204" t="str">
        <v>50k to 100k</v>
      </c>
      <c r="N204" s="29">
        <v>44382</v>
      </c>
    </row>
    <row r="205" spans="7:14">
      <c r="G205" t="str">
        <v>SQ03625</v>
      </c>
      <c r="H205" t="str">
        <v>Fidela</v>
      </c>
      <c r="I205" s="29" t="str">
        <v>Artis</v>
      </c>
      <c r="J205" t="str">
        <v>Female</v>
      </c>
      <c r="K205" t="str">
        <v>Sales</v>
      </c>
      <c r="L205">
        <v>78020.39</v>
      </c>
      <c r="M205" t="str">
        <v>50k to 100k</v>
      </c>
      <c r="N205" s="29">
        <v>43899</v>
      </c>
    </row>
    <row r="206" spans="7:14">
      <c r="G206" t="str">
        <v>SQ03626</v>
      </c>
      <c r="H206" t="str">
        <v>Krishnakanta</v>
      </c>
      <c r="I206" s="29" t="str">
        <v>Vellanki</v>
      </c>
      <c r="J206" t="str">
        <v>Female</v>
      </c>
      <c r="K206" t="str">
        <v>Training</v>
      </c>
      <c r="L206">
        <v>95677.9</v>
      </c>
      <c r="M206" t="str">
        <v>50k to 100k</v>
      </c>
      <c r="N206" s="29">
        <v>44396</v>
      </c>
    </row>
    <row r="207" spans="7:14">
      <c r="G207" t="str">
        <v>SQ04613</v>
      </c>
      <c r="H207" t="str">
        <v>Sarojini</v>
      </c>
      <c r="I207" s="29" t="str">
        <v>Naueshwara</v>
      </c>
      <c r="J207" t="str">
        <v>Female</v>
      </c>
      <c r="K207" t="str">
        <v>Human Resources</v>
      </c>
      <c r="L207">
        <v>85264.38</v>
      </c>
      <c r="M207" t="str">
        <v>50k to 100k</v>
      </c>
      <c r="N207" s="29">
        <v>43220</v>
      </c>
    </row>
    <row r="208" spans="7:14">
      <c r="G208" t="str">
        <v>SQ04960</v>
      </c>
      <c r="H208" t="str">
        <v>Shubhra</v>
      </c>
      <c r="I208" s="29" t="str">
        <v>Potla</v>
      </c>
      <c r="J208" t="str">
        <v>Female</v>
      </c>
      <c r="K208" t="str">
        <v>Support</v>
      </c>
      <c r="L208">
        <v>71924.850000000006</v>
      </c>
      <c r="M208" t="str">
        <v>50k to 100k</v>
      </c>
      <c r="N208" s="29">
        <v>43822</v>
      </c>
    </row>
    <row r="209" spans="7:14">
      <c r="G209" t="str">
        <v>TN00083</v>
      </c>
      <c r="H209" t="str">
        <v>Chandana</v>
      </c>
      <c r="I209" s="29" t="str">
        <v>Sannidhi</v>
      </c>
      <c r="J209" t="str">
        <v>Female</v>
      </c>
      <c r="K209" t="str">
        <v>Business Development</v>
      </c>
      <c r="L209">
        <v>61688.77</v>
      </c>
      <c r="M209" t="str">
        <v>50k to 100k</v>
      </c>
      <c r="N209" s="29">
        <v>43346</v>
      </c>
    </row>
    <row r="210" spans="7:14">
      <c r="G210" t="str">
        <v>TN00182</v>
      </c>
      <c r="H210" t="str">
        <v>Camilla</v>
      </c>
      <c r="I210" s="29" t="str">
        <v>Castle</v>
      </c>
      <c r="J210" t="str">
        <v>Female</v>
      </c>
      <c r="K210" t="str">
        <v>Product Management</v>
      </c>
      <c r="L210">
        <v>75475.929999999993</v>
      </c>
      <c r="M210" t="str">
        <v>50k to 100k</v>
      </c>
      <c r="N210" s="29">
        <v>43794</v>
      </c>
    </row>
    <row r="211" spans="7:14">
      <c r="G211" t="str">
        <v>TN00890</v>
      </c>
      <c r="H211" t="str">
        <v>Mayur</v>
      </c>
      <c r="I211" s="29" t="str">
        <v>Kousika</v>
      </c>
      <c r="J211" t="str">
        <v>Female</v>
      </c>
      <c r="K211" t="str">
        <v>Training</v>
      </c>
      <c r="L211">
        <v>71570.990000000005</v>
      </c>
      <c r="M211" t="str">
        <v>50k to 100k</v>
      </c>
      <c r="N211" s="29">
        <v>44249</v>
      </c>
    </row>
    <row r="212" spans="7:14">
      <c r="G212" t="str">
        <v>TN01281</v>
      </c>
      <c r="H212" t="str">
        <v>Cletus</v>
      </c>
      <c r="I212" s="29" t="str">
        <v>McGarahan</v>
      </c>
      <c r="J212" t="str">
        <v>Female</v>
      </c>
      <c r="K212" t="str">
        <v>Engineering</v>
      </c>
      <c r="L212">
        <v>114425.19</v>
      </c>
      <c r="M212" t="str">
        <v>Above 100k</v>
      </c>
      <c r="N212" s="29">
        <v>43857</v>
      </c>
    </row>
    <row r="213" spans="7:14">
      <c r="G213" t="str">
        <v>TN01601</v>
      </c>
      <c r="H213" t="str">
        <v>Melva</v>
      </c>
      <c r="I213" s="29" t="str">
        <v>Jickells</v>
      </c>
      <c r="J213" t="str">
        <v>Female</v>
      </c>
      <c r="K213" t="str">
        <v>Product Management</v>
      </c>
      <c r="L213">
        <v>68795.48</v>
      </c>
      <c r="M213" t="str">
        <v>50k to 100k</v>
      </c>
      <c r="N213" s="29">
        <v>44277</v>
      </c>
    </row>
    <row r="214" spans="7:14">
      <c r="G214" t="str">
        <v>TN01601</v>
      </c>
      <c r="H214" t="str">
        <v>Melva</v>
      </c>
      <c r="I214" s="29" t="str">
        <v>Jickells</v>
      </c>
      <c r="J214" t="str">
        <v>Female</v>
      </c>
      <c r="K214" t="str">
        <v>Product Management</v>
      </c>
      <c r="L214">
        <v>68795.48</v>
      </c>
      <c r="M214" t="str">
        <v>50k to 100k</v>
      </c>
      <c r="N214" s="29">
        <v>44277</v>
      </c>
    </row>
    <row r="215" spans="7:14">
      <c r="G215" t="str">
        <v>TN02749</v>
      </c>
      <c r="H215" t="str">
        <v>Parasuramudu</v>
      </c>
      <c r="I215" s="29" t="str">
        <v>Jamakayala</v>
      </c>
      <c r="J215" t="str">
        <v>Female</v>
      </c>
      <c r="K215" t="str">
        <v>Training</v>
      </c>
      <c r="L215">
        <v>57002.02</v>
      </c>
      <c r="M215" t="str">
        <v>50k to 100k</v>
      </c>
      <c r="N215" s="29">
        <v>43192</v>
      </c>
    </row>
    <row r="216" spans="7:14">
      <c r="G216" t="str">
        <v>TN02883</v>
      </c>
      <c r="H216" t="str">
        <v>John</v>
      </c>
      <c r="I216" s="29" t="str">
        <v>Joseph</v>
      </c>
      <c r="J216" t="str">
        <v>Female</v>
      </c>
      <c r="K216" t="str">
        <v>Sales</v>
      </c>
      <c r="L216">
        <v>84762.76</v>
      </c>
      <c r="M216" t="str">
        <v>50k to 100k</v>
      </c>
      <c r="N216" s="29">
        <v>43332</v>
      </c>
    </row>
    <row r="217" spans="7:14">
      <c r="G217" t="str">
        <v>TN03575</v>
      </c>
      <c r="H217" t="str">
        <v>Janina</v>
      </c>
      <c r="I217" s="29" t="str">
        <v>Wolverson</v>
      </c>
      <c r="J217" t="str">
        <v>Female</v>
      </c>
      <c r="K217" t="str">
        <v>Research and Development</v>
      </c>
      <c r="L217">
        <v>99683.67</v>
      </c>
      <c r="M217" t="str">
        <v>50k to 100k</v>
      </c>
      <c r="N217" s="29">
        <v>43500</v>
      </c>
    </row>
    <row r="218" spans="7:14">
      <c r="G218" t="str">
        <v>TN03575</v>
      </c>
      <c r="H218" t="str">
        <v>Janina</v>
      </c>
      <c r="I218" s="29" t="str">
        <v>Wolverson</v>
      </c>
      <c r="J218" t="str">
        <v>Female</v>
      </c>
      <c r="K218" t="str">
        <v>Research and Development</v>
      </c>
      <c r="L218">
        <v>99683.67</v>
      </c>
      <c r="M218" t="str">
        <v>50k to 100k</v>
      </c>
      <c r="N218" s="29">
        <v>43500</v>
      </c>
    </row>
    <row r="219" spans="7:14">
      <c r="G219" t="str">
        <v>TN04067</v>
      </c>
      <c r="H219" t="str">
        <v>Lea</v>
      </c>
      <c r="I219" s="29" t="str">
        <v>Chaplin</v>
      </c>
      <c r="J219" t="str">
        <v>Female</v>
      </c>
      <c r="K219" t="str">
        <v>Human Resources</v>
      </c>
      <c r="L219">
        <v>73488.679999999993</v>
      </c>
      <c r="M219" t="str">
        <v>50k to 100k</v>
      </c>
      <c r="N219" s="29">
        <v>43570</v>
      </c>
    </row>
    <row r="220" spans="7:14">
      <c r="G220" t="str">
        <v>TN04175</v>
      </c>
      <c r="H220" t="str">
        <v>Hinda</v>
      </c>
      <c r="I220" s="29" t="str">
        <v>Label</v>
      </c>
      <c r="J220" t="str">
        <v>Female</v>
      </c>
      <c r="K220" t="str">
        <v>Human Resources</v>
      </c>
      <c r="L220">
        <v>92704.48</v>
      </c>
      <c r="M220" t="str">
        <v>50k to 100k</v>
      </c>
      <c r="N220" s="29">
        <v>43430</v>
      </c>
    </row>
    <row r="221" spans="7:14">
      <c r="G221" t="str">
        <v>TN04246</v>
      </c>
      <c r="H221" t="str">
        <v>Shaylyn</v>
      </c>
      <c r="I221" s="29" t="str">
        <v>Ransbury</v>
      </c>
      <c r="J221" t="str">
        <v>Female</v>
      </c>
      <c r="K221" t="str">
        <v>Support</v>
      </c>
      <c r="L221">
        <v>100371.31</v>
      </c>
      <c r="M221" t="str">
        <v>Above 100k</v>
      </c>
      <c r="N221" s="29">
        <v>44067</v>
      </c>
    </row>
    <row r="222" spans="7:14">
      <c r="G222" t="str">
        <v>TN04740</v>
      </c>
      <c r="H222" t="str">
        <v>Tristam</v>
      </c>
      <c r="I222" s="29" t="str">
        <v>Cuming</v>
      </c>
      <c r="J222" t="str">
        <v>Female</v>
      </c>
      <c r="K222" t="str">
        <v>Support</v>
      </c>
      <c r="L222">
        <v>104038.9</v>
      </c>
      <c r="M222" t="str">
        <v>Above 100k</v>
      </c>
      <c r="N222" s="29">
        <v>43815</v>
      </c>
    </row>
    <row r="223" spans="7:14">
      <c r="G223" t="str">
        <v>VT00578</v>
      </c>
      <c r="H223" t="str">
        <v>Magnum</v>
      </c>
      <c r="I223" s="29" t="str">
        <v>Locksley</v>
      </c>
      <c r="J223" t="str">
        <v>Female</v>
      </c>
      <c r="K223" t="str">
        <v>Services</v>
      </c>
      <c r="L223">
        <v>42314.39</v>
      </c>
      <c r="M223" t="str">
        <v>Under 50k</v>
      </c>
      <c r="N223" s="29">
        <v>44487</v>
      </c>
    </row>
    <row r="224" spans="7:14">
      <c r="G224" t="str">
        <v>VT00596</v>
      </c>
      <c r="H224" t="str">
        <v>Letisha</v>
      </c>
      <c r="I224" s="29" t="str">
        <v>Carrett</v>
      </c>
      <c r="J224" t="str">
        <v>Female</v>
      </c>
      <c r="K224" t="str">
        <v>Sales</v>
      </c>
      <c r="L224">
        <v>84598.88</v>
      </c>
      <c r="M224" t="str">
        <v>50k to 100k</v>
      </c>
      <c r="N224" s="29">
        <v>44116</v>
      </c>
    </row>
    <row r="225" spans="1:14">
      <c r="G225" t="str">
        <v>VT00596</v>
      </c>
      <c r="H225" t="str">
        <v>Letisha</v>
      </c>
      <c r="I225" s="29" t="str">
        <v>Carrett</v>
      </c>
      <c r="J225" t="str">
        <v>Female</v>
      </c>
      <c r="K225" t="str">
        <v>Sales</v>
      </c>
      <c r="L225">
        <v>84598.88</v>
      </c>
      <c r="M225" t="str">
        <v>50k to 100k</v>
      </c>
      <c r="N225" s="29">
        <v>44116</v>
      </c>
    </row>
    <row r="226" spans="1:14">
      <c r="G226" t="str">
        <v>VT00740</v>
      </c>
      <c r="H226" t="str">
        <v>Chitrasen</v>
      </c>
      <c r="I226" s="29" t="str">
        <v>Laul</v>
      </c>
      <c r="J226" t="str">
        <v>Female</v>
      </c>
      <c r="K226" t="str">
        <v>Research and Development</v>
      </c>
      <c r="L226">
        <v>46751.7</v>
      </c>
      <c r="M226" t="str">
        <v>Under 50k</v>
      </c>
      <c r="N226" s="29">
        <v>43843</v>
      </c>
    </row>
    <row r="227" spans="1:14">
      <c r="G227" t="str">
        <v>VT01249</v>
      </c>
      <c r="H227" t="str">
        <v>Brendan</v>
      </c>
      <c r="I227" s="29" t="str">
        <v>Edgeller</v>
      </c>
      <c r="J227" t="str">
        <v>Female</v>
      </c>
      <c r="K227" t="str">
        <v>Legal</v>
      </c>
      <c r="L227">
        <v>31042.51</v>
      </c>
      <c r="M227" t="str">
        <v>Under 50k</v>
      </c>
      <c r="N227" s="29">
        <v>44473</v>
      </c>
    </row>
    <row r="228" spans="1:14">
      <c r="G228" t="str">
        <v>VT01610</v>
      </c>
      <c r="H228" t="str">
        <v>Dhruv</v>
      </c>
      <c r="I228" s="29" t="str">
        <v>Manjunath</v>
      </c>
      <c r="J228" t="str">
        <v>Female</v>
      </c>
      <c r="K228" t="str">
        <v>Accounting</v>
      </c>
      <c r="L228">
        <v>76303.820000000007</v>
      </c>
      <c r="M228" t="str">
        <v>50k to 100k</v>
      </c>
      <c r="N228" s="29">
        <v>43458</v>
      </c>
    </row>
    <row r="229" spans="1:14">
      <c r="G229" t="str">
        <v>VT01610</v>
      </c>
      <c r="H229" t="str">
        <v>Kunja</v>
      </c>
      <c r="I229" s="29" t="str">
        <v>Prashanta</v>
      </c>
      <c r="J229" t="str">
        <v>Female</v>
      </c>
      <c r="K229" t="str">
        <v>Accounting</v>
      </c>
      <c r="L229">
        <v>76303.820000000007</v>
      </c>
      <c r="M229" t="str">
        <v>50k to 100k</v>
      </c>
      <c r="N229" s="29">
        <v>43458</v>
      </c>
    </row>
    <row r="230" spans="1:14">
      <c r="G230" t="str">
        <v>VT01803</v>
      </c>
      <c r="H230" t="str">
        <v>Freddy</v>
      </c>
      <c r="I230" s="29" t="str">
        <v>Linford</v>
      </c>
      <c r="J230" t="str">
        <v>Female</v>
      </c>
      <c r="K230" t="str">
        <v>Training</v>
      </c>
      <c r="L230">
        <v>93128.34</v>
      </c>
      <c r="M230" t="str">
        <v>50k to 100k</v>
      </c>
      <c r="N230" s="29">
        <v>43164</v>
      </c>
    </row>
    <row r="231" spans="1:14">
      <c r="G231" t="str">
        <v>VT02374</v>
      </c>
      <c r="H231" t="str">
        <v>Delphine</v>
      </c>
      <c r="I231" s="29" t="str">
        <v>Jewis</v>
      </c>
      <c r="J231" t="str">
        <v>Female</v>
      </c>
      <c r="K231" t="str">
        <v>Accounting</v>
      </c>
      <c r="L231">
        <v>71823.56</v>
      </c>
      <c r="M231" t="str">
        <v>50k to 100k</v>
      </c>
      <c r="N231" s="29">
        <v>43374</v>
      </c>
    </row>
    <row r="232" spans="1:14">
      <c r="G232" t="str">
        <v>VT02374</v>
      </c>
      <c r="H232" t="str">
        <v>Delphine</v>
      </c>
      <c r="I232" s="29" t="str">
        <v>Jewis</v>
      </c>
      <c r="J232" t="str">
        <v>Female</v>
      </c>
      <c r="K232" t="str">
        <v>Accounting</v>
      </c>
      <c r="L232">
        <v>71823.56</v>
      </c>
      <c r="M232" t="str">
        <v>50k to 100k</v>
      </c>
      <c r="N232" s="29">
        <v>43374</v>
      </c>
    </row>
    <row r="233" spans="1:14">
      <c r="G233" t="str">
        <v>VT02532</v>
      </c>
      <c r="H233" t="str">
        <v>Adey</v>
      </c>
      <c r="I233" s="29" t="str">
        <v>Ryal</v>
      </c>
      <c r="J233" t="str">
        <v>Female</v>
      </c>
      <c r="K233" t="str">
        <v>Legal</v>
      </c>
      <c r="L233">
        <v>32496.880000000001</v>
      </c>
      <c r="M233" t="str">
        <v>Under 50k</v>
      </c>
      <c r="N233" s="29">
        <v>43234</v>
      </c>
    </row>
    <row r="234" spans="1:14">
      <c r="G234" t="str">
        <v>VT03701</v>
      </c>
      <c r="H234" t="str">
        <v>Narois</v>
      </c>
      <c r="I234" s="29" t="str">
        <v>Motiwala</v>
      </c>
      <c r="J234" t="str">
        <v>Female</v>
      </c>
      <c r="K234" t="str">
        <v>Product Management</v>
      </c>
      <c r="L234">
        <v>89829.33</v>
      </c>
      <c r="M234" t="str">
        <v>50k to 100k</v>
      </c>
      <c r="N234" s="29">
        <v>43794</v>
      </c>
    </row>
    <row r="235" spans="1:14">
      <c r="G235" t="str">
        <v>VT03988</v>
      </c>
      <c r="H235" t="str">
        <v>Venkat</v>
      </c>
      <c r="I235" s="29" t="str">
        <v>Kodi</v>
      </c>
      <c r="J235" t="str">
        <v>Female</v>
      </c>
      <c r="K235" t="str">
        <v>Support</v>
      </c>
      <c r="L235">
        <v>58935.92</v>
      </c>
      <c r="M235" t="str">
        <v>50k to 100k</v>
      </c>
      <c r="N235" s="29">
        <v>43717</v>
      </c>
    </row>
    <row r="236" spans="1:14">
      <c r="G236" t="str">
        <v>VT04415</v>
      </c>
      <c r="H236" t="str">
        <v>Malory</v>
      </c>
      <c r="I236" s="29" t="str">
        <v>Biles</v>
      </c>
      <c r="J236" t="str">
        <v>Female</v>
      </c>
      <c r="K236" t="str">
        <v>Training</v>
      </c>
      <c r="L236">
        <v>58744.17</v>
      </c>
      <c r="M236" t="str">
        <v>50k to 100k</v>
      </c>
      <c r="N236" s="29">
        <v>43171</v>
      </c>
    </row>
    <row r="237" spans="1:14">
      <c r="G237" t="str">
        <v>VT04552</v>
      </c>
      <c r="H237" t="str">
        <v>Theresita</v>
      </c>
      <c r="I237" s="29" t="str">
        <v>Chasmer</v>
      </c>
      <c r="J237" t="str">
        <v>Female</v>
      </c>
      <c r="K237" t="str">
        <v>Product Management</v>
      </c>
      <c r="L237">
        <v>106665.67</v>
      </c>
      <c r="M237" t="str">
        <v>Above 100k</v>
      </c>
      <c r="N237" s="29">
        <v>43311</v>
      </c>
    </row>
    <row r="238" spans="1:14">
      <c r="I238" s="29"/>
    </row>
    <row r="239" spans="1:14" ht="23.4">
      <c r="A239" s="47" t="s">
        <v>756</v>
      </c>
      <c r="B239" s="47"/>
      <c r="C239" s="47"/>
      <c r="D239" s="47"/>
      <c r="E239" s="47"/>
      <c r="F239" s="47"/>
      <c r="G239" s="47"/>
      <c r="H239" s="47"/>
      <c r="I239" s="70"/>
      <c r="J239" s="70"/>
    </row>
    <row r="240" spans="1:14">
      <c r="I240" s="29"/>
    </row>
    <row r="241" spans="1:11">
      <c r="A241" s="54" t="s">
        <v>808</v>
      </c>
      <c r="B241">
        <f>COUNTA(staff[Emp ID])</f>
        <v>260</v>
      </c>
      <c r="C241" s="76">
        <f>AVERAGE(staff[Salary])</f>
        <v>73861.325230769246</v>
      </c>
      <c r="D241" s="76"/>
      <c r="E241" s="76"/>
      <c r="F241" s="76">
        <f>MAX(staff[Salary])</f>
        <v>120000</v>
      </c>
      <c r="G241" s="76"/>
      <c r="I241" s="29"/>
    </row>
    <row r="242" spans="1:11" ht="15" thickBot="1">
      <c r="I242" s="29"/>
    </row>
    <row r="243" spans="1:11" ht="15.6" thickTop="1" thickBot="1">
      <c r="A243" s="74" t="s">
        <v>4</v>
      </c>
      <c r="B243" s="74" t="s">
        <v>809</v>
      </c>
      <c r="C243" s="74" t="s">
        <v>810</v>
      </c>
      <c r="D243" s="75" t="s">
        <v>811</v>
      </c>
      <c r="E243" s="75"/>
      <c r="F243" s="74" t="s">
        <v>812</v>
      </c>
      <c r="G243" s="74" t="s">
        <v>813</v>
      </c>
      <c r="H243" s="74" t="s">
        <v>816</v>
      </c>
      <c r="I243" s="77"/>
      <c r="J243" s="35" t="s">
        <v>815</v>
      </c>
      <c r="K243" s="35" t="s">
        <v>814</v>
      </c>
    </row>
    <row r="244" spans="1:11" ht="15.6" thickTop="1" thickBot="1">
      <c r="A244" s="72" t="str" cm="1">
        <f t="array" ref="A244:A255">_xlfn._xlws.SORT(_xlfn.UNIQUE(staff[Department]))</f>
        <v>Accounting</v>
      </c>
      <c r="B244" s="78" cm="1">
        <f t="array" ref="B244:B255">COUNTIFS(staff[Department],_xlfn.ANCHORARRAY(A244))</f>
        <v>26</v>
      </c>
      <c r="C244" s="79" cm="1">
        <f t="array" ref="C244:C255">AVERAGEIFS(staff[Salary],staff[Department],_xlfn.ANCHORARRAY(A244))</f>
        <v>69806.945769230777</v>
      </c>
      <c r="D244" s="79" cm="1">
        <f t="array" ref="D244:D255">_xlfn.ANCHORARRAY(C244)-C241</f>
        <v>-4054.3794615384686</v>
      </c>
      <c r="E244" s="80" cm="1">
        <f t="array" ref="E244:E255">_xlfn.ANCHORARRAY(C244)-C241</f>
        <v>-4054.3794615384686</v>
      </c>
      <c r="F244" s="79">
        <f>_xlfn.MAXIFS(staff[Salary],staff[Department],A244)</f>
        <v>119022.49</v>
      </c>
      <c r="G244" s="79" cm="1">
        <f t="array" ref="G244">MEDIAN(_xlfn._xlws.FILTER(staff[Salary],staff[Department]=A244))</f>
        <v>69025.614999999991</v>
      </c>
      <c r="H244" s="81" t="str">
        <f>J244/GCD(J244,K244)&amp;":"&amp;K244/GCD(J244,K244)</f>
        <v>3:5</v>
      </c>
      <c r="I244" s="77"/>
      <c r="J244" cm="1">
        <f t="array" ref="J244:J255">COUNTIFS(staff[Department],_xlfn.ANCHORARRAY(A244),staff[Gender],"Female")</f>
        <v>9</v>
      </c>
      <c r="K244" cm="1">
        <f t="array" ref="K244:K255">COUNTIFS(staff[Department],_xlfn.ANCHORARRAY(A244),staff[Gender],"Male")</f>
        <v>15</v>
      </c>
    </row>
    <row r="245" spans="1:11" ht="15.6" thickTop="1" thickBot="1">
      <c r="A245" s="72" t="str">
        <v>Business Development</v>
      </c>
      <c r="B245" s="82">
        <v>26</v>
      </c>
      <c r="C245" s="83">
        <v>79781.805769230778</v>
      </c>
      <c r="D245" s="83">
        <v>5920.480538461532</v>
      </c>
      <c r="E245" s="84">
        <v>5920.480538461532</v>
      </c>
      <c r="F245" s="79">
        <f>_xlfn.MAXIFS(staff[Salary],staff[Department],A245)</f>
        <v>110042.37</v>
      </c>
      <c r="G245" s="79" cm="1">
        <f t="array" ref="G245">MEDIAN(_xlfn._xlws.FILTER(staff[Salary],staff[Department]=A245))</f>
        <v>80695.740000000005</v>
      </c>
      <c r="H245" s="81" t="str">
        <f t="shared" ref="H245:H255" si="0">J245/GCD(J245,K245)&amp;":"&amp;K245/GCD(J245,K245)</f>
        <v>11:15</v>
      </c>
      <c r="I245" s="77"/>
      <c r="J245">
        <v>11</v>
      </c>
      <c r="K245">
        <v>15</v>
      </c>
    </row>
    <row r="246" spans="1:11" ht="15.6" thickTop="1" thickBot="1">
      <c r="A246" s="72" t="str">
        <v>Engineering</v>
      </c>
      <c r="B246" s="82">
        <v>26</v>
      </c>
      <c r="C246" s="83">
        <v>81976.441923076913</v>
      </c>
      <c r="D246" s="83">
        <v>8115.1166923076671</v>
      </c>
      <c r="E246" s="84">
        <v>8115.1166923076671</v>
      </c>
      <c r="F246" s="79">
        <f>_xlfn.MAXIFS(staff[Salary],staff[Department],A246)</f>
        <v>120000</v>
      </c>
      <c r="G246" s="79" cm="1">
        <f t="array" ref="G246">MEDIAN(_xlfn._xlws.FILTER(staff[Salary],staff[Department]=A246))</f>
        <v>85332.304999999993</v>
      </c>
      <c r="H246" s="81" t="str">
        <f t="shared" si="0"/>
        <v>5:8</v>
      </c>
      <c r="I246" s="77"/>
      <c r="J246">
        <v>10</v>
      </c>
      <c r="K246">
        <v>16</v>
      </c>
    </row>
    <row r="247" spans="1:11" ht="15.6" thickTop="1" thickBot="1">
      <c r="A247" s="72" t="str">
        <v>Human Resources</v>
      </c>
      <c r="B247" s="82">
        <v>22</v>
      </c>
      <c r="C247" s="83">
        <v>73109.377727272746</v>
      </c>
      <c r="D247" s="83">
        <v>-751.94750349649985</v>
      </c>
      <c r="E247" s="84">
        <v>-751.94750349649985</v>
      </c>
      <c r="F247" s="79">
        <f>_xlfn.MAXIFS(staff[Salary],staff[Department],A247)</f>
        <v>103494.94</v>
      </c>
      <c r="G247" s="79" cm="1">
        <f t="array" ref="G247">MEDIAN(_xlfn._xlws.FILTER(staff[Salary],staff[Department]=A247))</f>
        <v>73182.794999999998</v>
      </c>
      <c r="H247" s="81" t="str">
        <f t="shared" si="0"/>
        <v>7:12</v>
      </c>
      <c r="I247" s="77"/>
      <c r="J247">
        <v>7</v>
      </c>
      <c r="K247">
        <v>12</v>
      </c>
    </row>
    <row r="248" spans="1:11" ht="15.6" thickTop="1" thickBot="1">
      <c r="A248" s="72" t="str">
        <v>Legal</v>
      </c>
      <c r="B248" s="82">
        <v>21</v>
      </c>
      <c r="C248" s="83">
        <v>67242.51761904762</v>
      </c>
      <c r="D248" s="83">
        <v>-6618.807611721626</v>
      </c>
      <c r="E248" s="84">
        <v>-6618.807611721626</v>
      </c>
      <c r="F248" s="79">
        <f>_xlfn.MAXIFS(staff[Salary],staff[Department],A248)</f>
        <v>113747.56</v>
      </c>
      <c r="G248" s="79" cm="1">
        <f t="array" ref="G248">MEDIAN(_xlfn._xlws.FILTER(staff[Salary],staff[Department]=A248))</f>
        <v>66572.58</v>
      </c>
      <c r="H248" s="81" t="str">
        <f t="shared" si="0"/>
        <v>7:13</v>
      </c>
      <c r="I248" s="77"/>
      <c r="J248">
        <v>7</v>
      </c>
      <c r="K248">
        <v>13</v>
      </c>
    </row>
    <row r="249" spans="1:11" ht="15.6" thickTop="1" thickBot="1">
      <c r="A249" s="72" t="str">
        <v>Marketing</v>
      </c>
      <c r="B249" s="82">
        <v>12</v>
      </c>
      <c r="C249" s="83">
        <v>64441.299999999996</v>
      </c>
      <c r="D249" s="83">
        <v>-9420.0252307692499</v>
      </c>
      <c r="E249" s="84">
        <v>-9420.0252307692499</v>
      </c>
      <c r="F249" s="79">
        <f>_xlfn.MAXIFS(staff[Salary],staff[Department],A249)</f>
        <v>104903.79</v>
      </c>
      <c r="G249" s="79" cm="1">
        <f t="array" ref="G249">MEDIAN(_xlfn._xlws.FILTER(staff[Salary],staff[Department]=A249))</f>
        <v>66961.489999999991</v>
      </c>
      <c r="H249" s="81" t="str">
        <f t="shared" si="0"/>
        <v>5:7</v>
      </c>
      <c r="I249" s="77"/>
      <c r="J249">
        <v>5</v>
      </c>
      <c r="K249">
        <v>7</v>
      </c>
    </row>
    <row r="250" spans="1:11" ht="15.6" thickTop="1" thickBot="1">
      <c r="A250" s="72" t="str">
        <v>Product Management</v>
      </c>
      <c r="B250" s="82">
        <v>29</v>
      </c>
      <c r="C250" s="83">
        <v>75179.064482758593</v>
      </c>
      <c r="D250" s="83">
        <v>1317.7392519893474</v>
      </c>
      <c r="E250" s="84">
        <v>1317.7392519893474</v>
      </c>
      <c r="F250" s="79">
        <f>_xlfn.MAXIFS(staff[Salary],staff[Department],A250)</f>
        <v>115191.38</v>
      </c>
      <c r="G250" s="79" cm="1">
        <f t="array" ref="G250">MEDIAN(_xlfn._xlws.FILTER(staff[Salary],staff[Department]=A250))</f>
        <v>72502.61</v>
      </c>
      <c r="H250" s="81" t="str">
        <f t="shared" si="0"/>
        <v>17:12</v>
      </c>
      <c r="I250" s="77"/>
      <c r="J250">
        <v>17</v>
      </c>
      <c r="K250">
        <v>12</v>
      </c>
    </row>
    <row r="251" spans="1:11" ht="15.6" thickTop="1" thickBot="1">
      <c r="A251" s="72" t="str">
        <v>Research and Development</v>
      </c>
      <c r="B251" s="82">
        <v>18</v>
      </c>
      <c r="C251" s="83">
        <v>66910.765555555554</v>
      </c>
      <c r="D251" s="83">
        <v>-6950.5596752136917</v>
      </c>
      <c r="E251" s="84">
        <v>-6950.5596752136917</v>
      </c>
      <c r="F251" s="79">
        <f>_xlfn.MAXIFS(staff[Salary],staff[Department],A251)</f>
        <v>99683.67</v>
      </c>
      <c r="G251" s="79" cm="1">
        <f t="array" ref="G251">MEDIAN(_xlfn._xlws.FILTER(staff[Salary],staff[Department]=A251))</f>
        <v>65995.375</v>
      </c>
      <c r="H251" s="81" t="str">
        <f t="shared" si="0"/>
        <v>11:7</v>
      </c>
      <c r="I251" s="77"/>
      <c r="J251">
        <v>11</v>
      </c>
      <c r="K251">
        <v>7</v>
      </c>
    </row>
    <row r="252" spans="1:11" ht="15.6" thickTop="1" thickBot="1">
      <c r="A252" s="72" t="str">
        <v>Sales</v>
      </c>
      <c r="B252" s="82">
        <v>18</v>
      </c>
      <c r="C252" s="83">
        <v>71897.095555555556</v>
      </c>
      <c r="D252" s="83">
        <v>-1964.2296752136899</v>
      </c>
      <c r="E252" s="84">
        <v>-1964.2296752136899</v>
      </c>
      <c r="F252" s="79">
        <f>_xlfn.MAXIFS(staff[Salary],staff[Department],A252)</f>
        <v>102129.37</v>
      </c>
      <c r="G252" s="79" cm="1">
        <f t="array" ref="G252">MEDIAN(_xlfn._xlws.FILTER(staff[Salary],staff[Department]=A252))</f>
        <v>79396.654999999999</v>
      </c>
      <c r="H252" s="81" t="str">
        <f t="shared" si="0"/>
        <v>5:4</v>
      </c>
      <c r="I252" s="77"/>
      <c r="J252">
        <v>10</v>
      </c>
      <c r="K252">
        <v>8</v>
      </c>
    </row>
    <row r="253" spans="1:11" ht="15.6" thickTop="1" thickBot="1">
      <c r="A253" s="72" t="str">
        <v>Services</v>
      </c>
      <c r="B253" s="82">
        <v>21</v>
      </c>
      <c r="C253" s="83">
        <v>74673.974761904756</v>
      </c>
      <c r="D253" s="83">
        <v>812.64953113551019</v>
      </c>
      <c r="E253" s="84">
        <v>812.64953113551019</v>
      </c>
      <c r="F253" s="79">
        <f>_xlfn.MAXIFS(staff[Salary],staff[Department],A253)</f>
        <v>120000</v>
      </c>
      <c r="G253" s="79" cm="1">
        <f t="array" ref="G253">MEDIAN(_xlfn._xlws.FILTER(staff[Salary],staff[Department]=A253))</f>
        <v>77096.05</v>
      </c>
      <c r="H253" s="81" t="str">
        <f t="shared" si="0"/>
        <v>13:8</v>
      </c>
      <c r="I253" s="77"/>
      <c r="J253">
        <v>13</v>
      </c>
      <c r="K253">
        <v>8</v>
      </c>
    </row>
    <row r="254" spans="1:11" ht="15.6" thickTop="1" thickBot="1">
      <c r="A254" s="72" t="str">
        <v>Support</v>
      </c>
      <c r="B254" s="82">
        <v>17</v>
      </c>
      <c r="C254" s="83">
        <v>66432.455882352937</v>
      </c>
      <c r="D254" s="83">
        <v>-7428.8693484163086</v>
      </c>
      <c r="E254" s="84">
        <v>-7428.8693484163086</v>
      </c>
      <c r="F254" s="79">
        <f>_xlfn.MAXIFS(staff[Salary],staff[Department],A254)</f>
        <v>104802.63</v>
      </c>
      <c r="G254" s="79" cm="1">
        <f t="array" ref="G254">MEDIAN(_xlfn._xlws.FILTER(staff[Salary],staff[Department]=A254))</f>
        <v>61214.26</v>
      </c>
      <c r="H254" s="81" t="str">
        <f t="shared" si="0"/>
        <v>1:1</v>
      </c>
      <c r="I254" s="77"/>
      <c r="J254">
        <v>8</v>
      </c>
      <c r="K254">
        <v>8</v>
      </c>
    </row>
    <row r="255" spans="1:11" ht="15.6" thickTop="1" thickBot="1">
      <c r="A255" s="73" t="str">
        <v>Training</v>
      </c>
      <c r="B255" s="82">
        <v>24</v>
      </c>
      <c r="C255" s="83">
        <v>83883.965000000011</v>
      </c>
      <c r="D255" s="83">
        <v>10022.639769230766</v>
      </c>
      <c r="E255" s="84">
        <v>10022.639769230766</v>
      </c>
      <c r="F255" s="79">
        <f>_xlfn.MAXIFS(staff[Salary],staff[Department],A255)</f>
        <v>116767.63</v>
      </c>
      <c r="G255" s="79" cm="1">
        <f t="array" ref="G255">MEDIAN(_xlfn._xlws.FILTER(staff[Salary],staff[Department]=A255))</f>
        <v>89569.44</v>
      </c>
      <c r="H255" s="81" t="str">
        <f t="shared" si="0"/>
        <v>17:6</v>
      </c>
      <c r="I255" s="77"/>
      <c r="J255">
        <v>17</v>
      </c>
      <c r="K255">
        <v>6</v>
      </c>
    </row>
    <row r="256" spans="1:11" ht="15" thickTop="1">
      <c r="G256" s="76"/>
      <c r="I256" s="77"/>
    </row>
    <row r="257" spans="9:9">
      <c r="I257" s="77"/>
    </row>
    <row r="258" spans="9:9">
      <c r="I258" s="77"/>
    </row>
    <row r="259" spans="9:9">
      <c r="I259" s="77"/>
    </row>
    <row r="260" spans="9:9">
      <c r="I260" s="77"/>
    </row>
    <row r="261" spans="9:9">
      <c r="I261" s="77"/>
    </row>
    <row r="262" spans="9:9">
      <c r="I262" s="77"/>
    </row>
    <row r="263" spans="9:9">
      <c r="I263" s="77"/>
    </row>
    <row r="264" spans="9:9">
      <c r="I264" s="77"/>
    </row>
    <row r="265" spans="9:9">
      <c r="I265" s="77"/>
    </row>
    <row r="266" spans="9:9">
      <c r="I266" s="77"/>
    </row>
    <row r="267" spans="9:9">
      <c r="I267" s="29"/>
    </row>
    <row r="268" spans="9:9">
      <c r="I268" s="29"/>
    </row>
    <row r="269" spans="9:9">
      <c r="I269" s="29"/>
    </row>
    <row r="270" spans="9:9">
      <c r="I270" s="29"/>
    </row>
    <row r="271" spans="9:9">
      <c r="I271" s="29"/>
    </row>
    <row r="272" spans="9:9">
      <c r="I272" s="29"/>
    </row>
    <row r="273" spans="9:9">
      <c r="I273" s="29"/>
    </row>
    <row r="274" spans="9:9">
      <c r="I274" s="29"/>
    </row>
    <row r="275" spans="9:9">
      <c r="I275" s="29"/>
    </row>
    <row r="276" spans="9:9">
      <c r="I276" s="29"/>
    </row>
    <row r="277" spans="9:9">
      <c r="I277" s="29"/>
    </row>
  </sheetData>
  <mergeCells count="17">
    <mergeCell ref="D243:E243"/>
    <mergeCell ref="H159:L159"/>
    <mergeCell ref="A165:G165"/>
    <mergeCell ref="A239:H239"/>
    <mergeCell ref="H175:N175"/>
    <mergeCell ref="A1:I1"/>
    <mergeCell ref="A127:G127"/>
    <mergeCell ref="A135:G135"/>
    <mergeCell ref="A85:P85"/>
    <mergeCell ref="A104:D104"/>
    <mergeCell ref="A93:G93"/>
    <mergeCell ref="A111:D111"/>
    <mergeCell ref="A155:G155"/>
    <mergeCell ref="A66:H66"/>
    <mergeCell ref="B67:F67"/>
    <mergeCell ref="A78:M78"/>
    <mergeCell ref="A16:N16"/>
  </mergeCells>
  <conditionalFormatting sqref="D244:D255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{0F18CB80-06B0-4556-BF3A-D5D1A1BBA1B9}</x14:id>
        </ext>
      </extLst>
    </cfRule>
  </conditionalFormatting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18CB80-06B0-4556-BF3A-D5D1A1BBA1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D244:D255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Steffin Thomas</cp:lastModifiedBy>
  <dcterms:created xsi:type="dcterms:W3CDTF">2021-03-14T20:21:32Z</dcterms:created>
  <dcterms:modified xsi:type="dcterms:W3CDTF">2025-05-25T13:48:44Z</dcterms:modified>
</cp:coreProperties>
</file>