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anbokarev/Documents/GitHub/HomeTaskLMS/"/>
    </mc:Choice>
  </mc:AlternateContent>
  <xr:revisionPtr revIDLastSave="0" documentId="13_ncr:1_{9C475D61-CBA3-304B-850D-A68D3409C19A}" xr6:coauthVersionLast="47" xr6:coauthVersionMax="47" xr10:uidLastSave="{00000000-0000-0000-0000-000000000000}"/>
  <bookViews>
    <workbookView xWindow="0" yWindow="640" windowWidth="30240" windowHeight="17320" xr2:uid="{984D0FDC-26B7-A74A-BD85-97DEBA7893C4}"/>
  </bookViews>
  <sheets>
    <sheet name="SUMMARY" sheetId="1" r:id="rId1"/>
    <sheet name="OPEX CAPEX" sheetId="2" r:id="rId2"/>
    <sheet name="Года и пользователи" sheetId="4" r:id="rId3"/>
    <sheet name="Доходы" sheetId="5" r:id="rId4"/>
    <sheet name="US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L14" i="4" s="1"/>
  <c r="F13" i="4"/>
  <c r="H13" i="4" s="1"/>
  <c r="J13" i="4" s="1"/>
  <c r="G18" i="4"/>
  <c r="I18" i="4" s="1"/>
  <c r="J18" i="4" s="1"/>
  <c r="G17" i="4"/>
  <c r="I17" i="4" s="1"/>
  <c r="G16" i="4"/>
  <c r="I16" i="4" s="1"/>
  <c r="K16" i="4"/>
  <c r="G15" i="4"/>
  <c r="I15" i="4" s="1"/>
  <c r="G14" i="4"/>
  <c r="G13" i="4"/>
  <c r="L18" i="4"/>
  <c r="K17" i="4"/>
  <c r="K18" i="4"/>
  <c r="I14" i="4"/>
  <c r="I13" i="4"/>
  <c r="F18" i="4"/>
  <c r="H18" i="4" s="1"/>
  <c r="F17" i="4"/>
  <c r="H17" i="4" s="1"/>
  <c r="J17" i="4" s="1"/>
  <c r="F16" i="4"/>
  <c r="H16" i="4" s="1"/>
  <c r="J16" i="4" s="1"/>
  <c r="F15" i="4"/>
  <c r="H15" i="4" s="1"/>
  <c r="H14" i="4"/>
  <c r="J14" i="4" s="1"/>
  <c r="J15" i="4" l="1"/>
  <c r="L15" i="4"/>
  <c r="L13" i="4"/>
  <c r="K15" i="4"/>
  <c r="L17" i="4"/>
  <c r="L16" i="4"/>
  <c r="M15" i="4"/>
  <c r="N15" i="4" s="1"/>
  <c r="M17" i="4"/>
  <c r="N17" i="4" s="1"/>
  <c r="M16" i="4"/>
  <c r="N16" i="4" s="1"/>
  <c r="M18" i="4"/>
  <c r="N18" i="4" s="1"/>
  <c r="M21" i="2"/>
  <c r="M10" i="2"/>
  <c r="M31" i="2"/>
  <c r="D27" i="2" s="1"/>
  <c r="M19" i="2"/>
  <c r="D18" i="2" s="1"/>
  <c r="K14" i="4" s="1"/>
  <c r="M14" i="4" s="1"/>
  <c r="N14" i="4" s="1"/>
  <c r="M8" i="2"/>
  <c r="D26" i="2"/>
  <c r="D17" i="2"/>
  <c r="K13" i="4" s="1"/>
  <c r="M13" i="4" s="1"/>
  <c r="N13" i="4" s="1"/>
  <c r="D8" i="2"/>
  <c r="D29" i="2" l="1"/>
  <c r="D26" i="1" s="1"/>
  <c r="D9" i="2"/>
  <c r="D11" i="2" s="1"/>
  <c r="D8" i="1" s="1"/>
  <c r="D20" i="2"/>
  <c r="D17" i="1" s="1"/>
</calcChain>
</file>

<file path=xl/sharedStrings.xml><?xml version="1.0" encoding="utf-8"?>
<sst xmlns="http://schemas.openxmlformats.org/spreadsheetml/2006/main" count="191" uniqueCount="110">
  <si>
    <t>Тех. Стек. № 1</t>
  </si>
  <si>
    <t>Тех. Стек. № 2</t>
  </si>
  <si>
    <t>Тех. Стек. № 3</t>
  </si>
  <si>
    <t>Scalable Future</t>
  </si>
  <si>
    <t>Cost Saver</t>
  </si>
  <si>
    <t>Innovation Edge</t>
  </si>
  <si>
    <t>Тех стек</t>
  </si>
  <si>
    <t>Вариант № 1</t>
  </si>
  <si>
    <t>Вариант № 3</t>
  </si>
  <si>
    <t>Вариант № 2</t>
  </si>
  <si>
    <t>Стоимость</t>
  </si>
  <si>
    <t>Сложность внедрения</t>
  </si>
  <si>
    <t>ЦА</t>
  </si>
  <si>
    <t>Основное преимущество</t>
  </si>
  <si>
    <t>Масштабируемость</t>
  </si>
  <si>
    <t>Время выхода на рынок</t>
  </si>
  <si>
    <t>Фин планирование</t>
  </si>
  <si>
    <t>CAPEX</t>
  </si>
  <si>
    <t>OPEX</t>
  </si>
  <si>
    <t>Скрытые затраты</t>
  </si>
  <si>
    <t>Полноценная LMS система собственного производства</t>
  </si>
  <si>
    <t>B2B Крупный бизнес, гос. Учреждения</t>
  </si>
  <si>
    <t>Высокая</t>
  </si>
  <si>
    <t>B2B компании, Гос учреждения</t>
  </si>
  <si>
    <t>Средняя</t>
  </si>
  <si>
    <t>Низкая</t>
  </si>
  <si>
    <t>Умеренная</t>
  </si>
  <si>
    <t>Быстрый старт минимальной LMS</t>
  </si>
  <si>
    <t>Модульная LMS система c поддержкой</t>
  </si>
  <si>
    <t>B2B онлайн школы, репетиторы</t>
  </si>
  <si>
    <t>All-in-One LMS</t>
  </si>
  <si>
    <t>Custom Core LMS</t>
  </si>
  <si>
    <t>Light &amp; Fast LMS</t>
  </si>
  <si>
    <t>ОС</t>
  </si>
  <si>
    <t>Серверы и виртуализация</t>
  </si>
  <si>
    <t>Базы данных</t>
  </si>
  <si>
    <t>SberLinux OS Server</t>
  </si>
  <si>
    <t>Platform V</t>
  </si>
  <si>
    <t>Pangolin, ClickHouse</t>
  </si>
  <si>
    <t>Platform V Corax</t>
  </si>
  <si>
    <t>Брокер сообщений</t>
  </si>
  <si>
    <t>Сервер (физ.)</t>
  </si>
  <si>
    <t>Контейнеризация</t>
  </si>
  <si>
    <t>Platform V DropApp</t>
  </si>
  <si>
    <t>AI</t>
  </si>
  <si>
    <t>GigaChat Max</t>
  </si>
  <si>
    <t>Кибербезопасность</t>
  </si>
  <si>
    <t>Platform V SOWA (SberCloud Anti-DDoS+WAF)</t>
  </si>
  <si>
    <t>Postgres Pro </t>
  </si>
  <si>
    <t>Ubuntu</t>
  </si>
  <si>
    <t>Kubernetes, Docker</t>
  </si>
  <si>
    <t>DeepSeek</t>
  </si>
  <si>
    <t>VK.Cloud</t>
  </si>
  <si>
    <t>Apache Kafka</t>
  </si>
  <si>
    <t>Timeweb Cloud</t>
  </si>
  <si>
    <t>Postgres</t>
  </si>
  <si>
    <t>Сервер</t>
  </si>
  <si>
    <t>Аквариус+Ядро (физ)</t>
  </si>
  <si>
    <t>Аквариус+Ядро(физ)</t>
  </si>
  <si>
    <t>OpenAI</t>
  </si>
  <si>
    <t>Positive Technologies </t>
  </si>
  <si>
    <t>В год</t>
  </si>
  <si>
    <t>Базы данных (s3)</t>
  </si>
  <si>
    <t>токенов</t>
  </si>
  <si>
    <t>-</t>
  </si>
  <si>
    <t>Kaspersky Security</t>
  </si>
  <si>
    <t>Cloud.ru (облако)</t>
  </si>
  <si>
    <t>Аренда сервера</t>
  </si>
  <si>
    <t>Сумма затрат</t>
  </si>
  <si>
    <t>Зарплата команды (чел)</t>
  </si>
  <si>
    <t>Администрирование</t>
  </si>
  <si>
    <t>Обновления и лицензии</t>
  </si>
  <si>
    <t>Обучение персонала</t>
  </si>
  <si>
    <t>Мониторинг и аналитика</t>
  </si>
  <si>
    <t>Поддержка ПО (чел)</t>
  </si>
  <si>
    <t>Нагрузка на LMS</t>
  </si>
  <si>
    <t>MAU (Monthly Active Users)</t>
  </si>
  <si>
    <t>DAY (Daily Active Users) </t>
  </si>
  <si>
    <t>RPS — Requests Per Second</t>
  </si>
  <si>
    <t>RPD — Requests Per Day</t>
  </si>
  <si>
    <t>Метрика</t>
  </si>
  <si>
    <t>Максимум за день</t>
  </si>
  <si>
    <t>Среднее за месяц</t>
  </si>
  <si>
    <t>Год</t>
  </si>
  <si>
    <t>Чистая прибыль</t>
  </si>
  <si>
    <t>Общее кол-во пользователей</t>
  </si>
  <si>
    <t>Операционные затраты</t>
  </si>
  <si>
    <t>Общий доход</t>
  </si>
  <si>
    <t>Количество компаний</t>
  </si>
  <si>
    <t>Количество вузов, школ</t>
  </si>
  <si>
    <t>Доход по тарифу "Корпоративный"</t>
  </si>
  <si>
    <t>Доход по тарифу "Государственный"</t>
  </si>
  <si>
    <t>Кол-во компаний в России (средний и крупный)</t>
  </si>
  <si>
    <t>Процент нуждающихся в LMS</t>
  </si>
  <si>
    <t>Кол-во вузов в России</t>
  </si>
  <si>
    <t>Кол-во школ в России</t>
  </si>
  <si>
    <t>Токенов на пользователя в год</t>
  </si>
  <si>
    <t>Цена за 1000 токенов</t>
  </si>
  <si>
    <t>Доля рынка 40%</t>
  </si>
  <si>
    <t>Итого</t>
  </si>
  <si>
    <t>Средний чек бизнеса (руб) / год</t>
  </si>
  <si>
    <t>Средний чек вуза, школы (руб) / год</t>
  </si>
  <si>
    <t>Пользователей на компанию (ср. знач)</t>
  </si>
  <si>
    <t>Пользователей на вуз/школу (ср. знач)</t>
  </si>
  <si>
    <t>Доля рынка 3%</t>
  </si>
  <si>
    <t>Процент достижения KPI</t>
  </si>
  <si>
    <t>Чистая прибыль (млрд)</t>
  </si>
  <si>
    <t>15 мес</t>
  </si>
  <si>
    <t>5 мес</t>
  </si>
  <si>
    <t>10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</si>
</sst>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RUB&quot;_-;\-* #,##0.00\ &quot;RUB&quot;_-;_-* &quot;-&quot;??\ &quot;RUB&quot;_-;_-@_-"/>
    <numFmt numFmtId="43" formatCode="_-* #,##0.00_-;\-* #,##0.00_-;_-* &quot;-&quot;??_-;_-@_-"/>
    <numFmt numFmtId="164" formatCode="_-* #,##0\ &quot;RUB&quot;_-;\-* #,##0\ &quot;RUB&quot;_-;_-* &quot;-&quot;??\ &quot;RUB&quot;_-;_-@_-"/>
    <numFmt numFmtId="165" formatCode="_-* #,##0\ &quot;₽&quot;_-;\-* #,##0\ &quot;₽&quot;_-;_-* &quot;-&quot;??\ &quot;₽&quot;_-;_-@_-"/>
    <numFmt numFmtId="166" formatCode="_-* #,##0_-;\-* #,##0_-;_-* &quot;-&quot;??_-;_-@_-"/>
    <numFmt numFmtId="167" formatCode="_-* #,##0.00\ &quot;₽&quot;_-;\-* #,##0.00\ &quot;₽&quot;_-;_-* &quot;-&quot;??\ &quot;₽&quot;_-;_-@_-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B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37" fontId="0" fillId="0" borderId="0" xfId="0" applyNumberFormat="1"/>
    <xf numFmtId="3" fontId="0" fillId="0" borderId="0" xfId="0" applyNumberFormat="1"/>
    <xf numFmtId="0" fontId="3" fillId="0" borderId="0" xfId="3"/>
    <xf numFmtId="165" fontId="3" fillId="0" borderId="0" xfId="3" applyNumberFormat="1"/>
    <xf numFmtId="166" fontId="3" fillId="0" borderId="0" xfId="3" applyNumberFormat="1"/>
    <xf numFmtId="165" fontId="0" fillId="0" borderId="0" xfId="4" applyNumberFormat="1" applyFont="1"/>
    <xf numFmtId="166" fontId="0" fillId="0" borderId="0" xfId="5" applyNumberFormat="1" applyFont="1"/>
    <xf numFmtId="0" fontId="3" fillId="0" borderId="0" xfId="3" applyAlignment="1">
      <alignment horizontal="center" vertical="center" wrapText="1"/>
    </xf>
    <xf numFmtId="0" fontId="3" fillId="0" borderId="0" xfId="3" applyAlignment="1">
      <alignment horizontal="right"/>
    </xf>
    <xf numFmtId="9" fontId="3" fillId="0" borderId="0" xfId="3" applyNumberFormat="1"/>
    <xf numFmtId="0" fontId="3" fillId="0" borderId="0" xfId="3" applyAlignment="1">
      <alignment horizontal="right" vertical="center"/>
    </xf>
    <xf numFmtId="164" fontId="3" fillId="0" borderId="0" xfId="1" applyNumberFormat="1" applyFont="1"/>
    <xf numFmtId="3" fontId="3" fillId="0" borderId="0" xfId="3" applyNumberFormat="1"/>
    <xf numFmtId="9" fontId="0" fillId="0" borderId="0" xfId="2" applyFont="1"/>
    <xf numFmtId="167" fontId="0" fillId="0" borderId="0" xfId="4" applyFont="1"/>
    <xf numFmtId="3" fontId="0" fillId="0" borderId="0" xfId="4" applyNumberFormat="1" applyFont="1"/>
    <xf numFmtId="0" fontId="4" fillId="0" borderId="0" xfId="3" applyFont="1" applyAlignment="1">
      <alignment horizontal="center" vertical="center"/>
    </xf>
    <xf numFmtId="3" fontId="3" fillId="0" borderId="0" xfId="1" applyNumberFormat="1" applyFont="1"/>
    <xf numFmtId="0" fontId="4" fillId="0" borderId="0" xfId="3" applyFont="1"/>
    <xf numFmtId="0" fontId="0" fillId="0" borderId="0" xfId="0" applyAlignment="1">
      <alignment horizontal="center" vertical="center"/>
    </xf>
  </cellXfs>
  <cellStyles count="6">
    <cellStyle name="Comma 2" xfId="5" xr:uid="{435F6AEB-F6A7-6E4F-A2E6-B72A28D476C1}"/>
    <cellStyle name="Currency" xfId="1" builtinId="4"/>
    <cellStyle name="Currency 2" xfId="4" xr:uid="{C57E9A4C-432C-1641-9716-CD24F5891C91}"/>
    <cellStyle name="Normal" xfId="0" builtinId="0"/>
    <cellStyle name="Normal 2" xfId="3" xr:uid="{AF8255AE-E7D5-A44E-AC11-B8D59AF03FA4}"/>
    <cellStyle name="Per cent" xfId="2" builtinId="5"/>
  </cellStyles>
  <dxfs count="0"/>
  <tableStyles count="0" defaultTableStyle="TableStyleMedium2" defaultPivotStyle="PivotStyleLight16"/>
  <colors>
    <mruColors>
      <color rgb="FFFFFFFF"/>
      <color rgb="FFFF3B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'Года и пользователи'!$L$12</c:f>
              <c:strCache>
                <c:ptCount val="1"/>
                <c:pt idx="0">
                  <c:v>Общее кол-во пользователей</c:v>
                </c:pt>
              </c:strCache>
            </c:strRef>
          </c:tx>
          <c:spPr>
            <a:ln w="19050" cap="rnd" cmpd="sng" algn="ctr">
              <a:solidFill>
                <a:srgbClr val="05E18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bg2">
                  <a:lumMod val="90000"/>
                  <a:alpha val="24000"/>
                </a:schemeClr>
              </a:solidFill>
              <a:ln>
                <a:noFill/>
              </a:ln>
              <a:effectLst/>
            </c:spPr>
          </c:marker>
          <c:dPt>
            <c:idx val="4"/>
            <c:marker>
              <c:symbol val="circle"/>
              <c:size val="17"/>
              <c:spPr>
                <a:solidFill>
                  <a:schemeClr val="bg2">
                    <a:lumMod val="90000"/>
                    <a:alpha val="24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410-5B4F-A044-45D6B9166D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'Года и пользователи'!$E$13:$E$18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'Года и пользователи'!$L$13:$L$18</c:f>
              <c:numCache>
                <c:formatCode>_-* #\ ##0_-;\-* #\ ##0_-;_-* "-"??_-;_-@_-</c:formatCode>
                <c:ptCount val="6"/>
                <c:pt idx="0">
                  <c:v>25030600</c:v>
                </c:pt>
                <c:pt idx="1">
                  <c:v>250051000</c:v>
                </c:pt>
                <c:pt idx="2">
                  <c:v>500255000</c:v>
                </c:pt>
                <c:pt idx="3">
                  <c:v>751020000</c:v>
                </c:pt>
                <c:pt idx="4">
                  <c:v>876530000</c:v>
                </c:pt>
                <c:pt idx="5">
                  <c:v>1002040000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0-5B4F-A044-45D6B9166D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119536"/>
        <c:axId val="2112119952"/>
      </c:lineChart>
      <c:catAx>
        <c:axId val="21121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119952"/>
        <c:crosses val="autoZero"/>
        <c:auto val="1"/>
        <c:lblAlgn val="ctr"/>
        <c:lblOffset val="100"/>
        <c:noMultiLvlLbl val="0"/>
      </c:catAx>
      <c:valAx>
        <c:axId val="2112119952"/>
        <c:scaling>
          <c:orientation val="minMax"/>
        </c:scaling>
        <c:delete val="1"/>
        <c:axPos val="l"/>
        <c:numFmt formatCode="_-* #\ ##0_-;\-* #\ ##0_-;_-* &quot;-&quot;??_-;_-@_-" sourceLinked="1"/>
        <c:majorTickMark val="none"/>
        <c:minorTickMark val="none"/>
        <c:tickLblPos val="nextTo"/>
        <c:crossAx val="21121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/>
              <a:t>График точки безубыточности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'Года и пользователи'!$M$12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solidFill>
              <a:srgbClr val="05E183"/>
            </a:solidFill>
            <a:ln>
              <a:noFill/>
            </a:ln>
            <a:effectLst/>
          </c:spPr>
          <c:cat>
            <c:numRef>
              <c:f>'Года и пользователи'!$E$13:$E$18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'Года и пользователи'!$M$13:$M$18</c:f>
              <c:numCache>
                <c:formatCode>_-* #\ ##0\ "₽"_-;\-* #\ ##0\ "₽"_-;_-* "-"??\ "₽"_-;_-@_-</c:formatCode>
                <c:ptCount val="6"/>
                <c:pt idx="0">
                  <c:v>-17602303000.000015</c:v>
                </c:pt>
                <c:pt idx="1">
                  <c:v>-45169301000.000122</c:v>
                </c:pt>
                <c:pt idx="2">
                  <c:v>49176349999.999512</c:v>
                </c:pt>
                <c:pt idx="3">
                  <c:v>371735999999.99951</c:v>
                </c:pt>
                <c:pt idx="4">
                  <c:v>432603999999.99951</c:v>
                </c:pt>
                <c:pt idx="5">
                  <c:v>493471999999.99951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2446-8EEB-58E6E945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06832"/>
        <c:axId val="2079808912"/>
      </c:areaChart>
      <c:catAx>
        <c:axId val="207980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>
              <a:alpha val="32000"/>
            </a:schemeClr>
          </a:solidFill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08912"/>
        <c:crosses val="autoZero"/>
        <c:auto val="1"/>
        <c:lblAlgn val="ctr"/>
        <c:lblOffset val="100"/>
        <c:noMultiLvlLbl val="0"/>
      </c:catAx>
      <c:valAx>
        <c:axId val="2079808912"/>
        <c:scaling>
          <c:orientation val="minMax"/>
          <c:max val="159000000"/>
          <c:min val="-21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06832"/>
        <c:crosses val="autoZero"/>
        <c:crossBetween val="midCat"/>
        <c:majorUnit val="30000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общего дохода и чистой прибыли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'Года и пользователи'!$J$12</c:f>
              <c:strCache>
                <c:ptCount val="1"/>
                <c:pt idx="0">
                  <c:v>Общий доход</c:v>
                </c:pt>
              </c:strCache>
            </c:strRef>
          </c:tx>
          <c:spPr>
            <a:solidFill>
              <a:srgbClr val="05E183"/>
            </a:solidFill>
            <a:ln>
              <a:noFill/>
            </a:ln>
            <a:effectLst/>
          </c:spPr>
          <c:invertIfNegative val="0"/>
          <c:cat>
            <c:numRef>
              <c:f>'Года и пользователи'!$E$13:$E$18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'Года и пользователи'!$J$13:$J$18</c:f>
              <c:numCache>
                <c:formatCode>_-* #\ ##0\ "₽"_-;\-* #\ ##0\ "₽"_-;_-* "-"??\ "₽"_-;_-@_-</c:formatCode>
                <c:ptCount val="6"/>
                <c:pt idx="0">
                  <c:v>70006426000</c:v>
                </c:pt>
                <c:pt idx="1">
                  <c:v>830012699000</c:v>
                </c:pt>
                <c:pt idx="2">
                  <c:v>1800068849999.9998</c:v>
                </c:pt>
                <c:pt idx="3">
                  <c:v>3000306000000</c:v>
                </c:pt>
                <c:pt idx="4">
                  <c:v>3500459000000</c:v>
                </c:pt>
                <c:pt idx="5">
                  <c:v>4000612000000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194C-9DBB-D81232B4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073920"/>
        <c:axId val="2112074336"/>
      </c:barChart>
      <c:lineChart>
        <c:grouping val="standard"/>
        <c:varyColors val="0"/>
        <c:ser>
          <c:idx val="1"/>
          <c:order val="1"/>
          <c:tx>
            <c:strRef>
              <c:f>'Года и пользователи'!$M$12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'Года и пользователи'!$M$13:$M$18</c:f>
              <c:numCache>
                <c:formatCode>_-* #\ ##0\ "₽"_-;\-* #\ ##0\ "₽"_-;_-* "-"??\ "₽"_-;_-@_-</c:formatCode>
                <c:ptCount val="6"/>
                <c:pt idx="0">
                  <c:v>-17602303000.000015</c:v>
                </c:pt>
                <c:pt idx="1">
                  <c:v>-45169301000.000122</c:v>
                </c:pt>
                <c:pt idx="2">
                  <c:v>49176349999.999512</c:v>
                </c:pt>
                <c:pt idx="3">
                  <c:v>371735999999.99951</c:v>
                </c:pt>
                <c:pt idx="4">
                  <c:v>432603999999.99951</c:v>
                </c:pt>
                <c:pt idx="5">
                  <c:v>493471999999.99951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A-194C-9DBB-D81232B4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73920"/>
        <c:axId val="2112074336"/>
      </c:lineChart>
      <c:catAx>
        <c:axId val="21120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7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074336"/>
        <c:crosses val="autoZero"/>
        <c:auto val="1"/>
        <c:lblAlgn val="ctr"/>
        <c:lblOffset val="100"/>
        <c:noMultiLvlLbl val="0"/>
      </c:catAx>
      <c:valAx>
        <c:axId val="2112074336"/>
        <c:scaling>
          <c:orientation val="minMax"/>
          <c:max val="159000000"/>
          <c:min val="-2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073920"/>
        <c:crosses val="autoZero"/>
        <c:crossBetween val="between"/>
        <c:majorUnit val="5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'Года и пользователи'!$N$12</c:f>
              <c:strCache>
                <c:ptCount val="1"/>
                <c:pt idx="0">
                  <c:v>Чистая прибыль (млрд)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'Года и пользователи'!$E$13:$E$18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'Года и пользователи'!$N$13:$N$18</c:f>
              <c:numCache>
                <c:formatCode>_-* #\ ##0\ "₽"_-;\-* #\ ##0\ "₽"_-;_-* "-"??\ "₽"_-;_-@_-</c:formatCode>
                <c:ptCount val="6"/>
                <c:pt idx="0">
                  <c:v>-17602.303000000014</c:v>
                </c:pt>
                <c:pt idx="1">
                  <c:v>-45169.301000000123</c:v>
                </c:pt>
                <c:pt idx="2">
                  <c:v>49176.349999999511</c:v>
                </c:pt>
                <c:pt idx="3">
                  <c:v>371735.99999999953</c:v>
                </c:pt>
                <c:pt idx="4">
                  <c:v>432603.99999999953</c:v>
                </c:pt>
                <c:pt idx="5">
                  <c:v>493471.99999999953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F749-87AC-4CB381F5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43040"/>
        <c:axId val="493544752"/>
      </c:barChart>
      <c:catAx>
        <c:axId val="4935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93544752"/>
        <c:crosses val="autoZero"/>
        <c:auto val="1"/>
        <c:lblAlgn val="ctr"/>
        <c:lblOffset val="100"/>
        <c:noMultiLvlLbl val="0"/>
      </c:catAx>
      <c:valAx>
        <c:axId val="4935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935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20</xdr:row>
      <xdr:rowOff>26670</xdr:rowOff>
    </xdr:from>
    <xdr:to>
      <xdr:col>7</xdr:col>
      <xdr:colOff>937260</xdr:colOff>
      <xdr:row>35</xdr:row>
      <xdr:rowOff>26670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C03A18-BC67-684C-AA0D-39C064CEB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1732808</xdr:colOff>
      <xdr:row>25</xdr:row>
      <xdr:rowOff>28778</xdr:rowOff>
    </xdr:from>
    <xdr:to>
      <xdr:col>15</xdr:col>
      <xdr:colOff>361591</xdr:colOff>
      <xdr:row>40</xdr:row>
      <xdr:rowOff>28779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991BEA-64A4-ED40-B4DD-EB383223E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364901</xdr:colOff>
      <xdr:row>35</xdr:row>
      <xdr:rowOff>130935</xdr:rowOff>
    </xdr:from>
    <xdr:to>
      <xdr:col>8</xdr:col>
      <xdr:colOff>96591</xdr:colOff>
      <xdr:row>50</xdr:row>
      <xdr:rowOff>137375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CA68B9-A6DC-5F4E-A37A-73F5EDFF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179294</xdr:colOff>
      <xdr:row>21</xdr:row>
      <xdr:rowOff>0</xdr:rowOff>
    </xdr:from>
    <xdr:ext cx="216617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3305AB-75CE-294C-AC41-178EEC030AFA}"/>
            </a:ext>
          </a:extLst>
        </xdr:cNvPr>
        <xdr:cNvSpPr txBox="1"/>
      </xdr:nvSpPr>
      <xdr:spPr>
        <a:xfrm>
          <a:off x="3544794" y="3810000"/>
          <a:ext cx="21661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="1"/>
            <a:t>Общее</a:t>
          </a:r>
          <a:r>
            <a:rPr lang="ru-RU" sz="1200" b="1" baseline="0"/>
            <a:t> кол-во пользователей</a:t>
          </a:r>
          <a:endParaRPr lang="ru-RU" sz="1200" b="1"/>
        </a:p>
      </xdr:txBody>
    </xdr:sp>
    <xdr:clientData/>
  </xdr:oneCellAnchor>
  <xdr:twoCellAnchor>
    <xdr:from>
      <xdr:col>8</xdr:col>
      <xdr:colOff>505603</xdr:colOff>
      <xdr:row>26</xdr:row>
      <xdr:rowOff>30192</xdr:rowOff>
    </xdr:from>
    <xdr:to>
      <xdr:col>11</xdr:col>
      <xdr:colOff>213264</xdr:colOff>
      <xdr:row>40</xdr:row>
      <xdr:rowOff>89619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E3807F-1CF4-6FE7-0654-8EA7D603A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3E1-3267-394D-957D-229CC4052E71}">
  <dimension ref="C4:E29"/>
  <sheetViews>
    <sheetView tabSelected="1" zoomScale="131" workbookViewId="0">
      <selection activeCell="E20" sqref="E20"/>
    </sheetView>
  </sheetViews>
  <sheetFormatPr baseColWidth="10" defaultRowHeight="16" x14ac:dyDescent="0.2"/>
  <cols>
    <col min="2" max="2" width="20.6640625" customWidth="1"/>
    <col min="3" max="3" width="25.33203125" customWidth="1"/>
    <col min="4" max="4" width="43" customWidth="1"/>
    <col min="5" max="5" width="26" customWidth="1"/>
  </cols>
  <sheetData>
    <row r="4" spans="3:5" x14ac:dyDescent="0.2">
      <c r="C4" s="1" t="s">
        <v>7</v>
      </c>
      <c r="D4" s="1" t="s">
        <v>30</v>
      </c>
      <c r="E4" s="1"/>
    </row>
    <row r="5" spans="3:5" x14ac:dyDescent="0.2">
      <c r="C5" t="s">
        <v>6</v>
      </c>
      <c r="D5" t="s">
        <v>0</v>
      </c>
    </row>
    <row r="6" spans="3:5" x14ac:dyDescent="0.2">
      <c r="C6" t="s">
        <v>12</v>
      </c>
      <c r="D6" t="s">
        <v>21</v>
      </c>
    </row>
    <row r="7" spans="3:5" x14ac:dyDescent="0.2">
      <c r="C7" t="s">
        <v>11</v>
      </c>
      <c r="D7" s="2" t="s">
        <v>22</v>
      </c>
    </row>
    <row r="8" spans="3:5" x14ac:dyDescent="0.2">
      <c r="C8" t="s">
        <v>10</v>
      </c>
      <c r="D8" s="7">
        <f>'OPEX CAPEX'!D11</f>
        <v>175375000</v>
      </c>
    </row>
    <row r="9" spans="3:5" x14ac:dyDescent="0.2">
      <c r="C9" t="s">
        <v>13</v>
      </c>
      <c r="D9" t="s">
        <v>20</v>
      </c>
    </row>
    <row r="10" spans="3:5" x14ac:dyDescent="0.2">
      <c r="C10" t="s">
        <v>15</v>
      </c>
      <c r="D10" t="s">
        <v>107</v>
      </c>
    </row>
    <row r="11" spans="3:5" x14ac:dyDescent="0.2">
      <c r="C11" t="s">
        <v>14</v>
      </c>
      <c r="D11" s="3" t="s">
        <v>22</v>
      </c>
    </row>
    <row r="13" spans="3:5" x14ac:dyDescent="0.2">
      <c r="C13" s="1" t="s">
        <v>9</v>
      </c>
      <c r="D13" s="1" t="s">
        <v>31</v>
      </c>
      <c r="E13" s="1"/>
    </row>
    <row r="14" spans="3:5" x14ac:dyDescent="0.2">
      <c r="C14" t="s">
        <v>6</v>
      </c>
      <c r="D14" t="s">
        <v>1</v>
      </c>
    </row>
    <row r="15" spans="3:5" x14ac:dyDescent="0.2">
      <c r="C15" t="s">
        <v>12</v>
      </c>
      <c r="D15" t="s">
        <v>23</v>
      </c>
    </row>
    <row r="16" spans="3:5" x14ac:dyDescent="0.2">
      <c r="C16" t="s">
        <v>11</v>
      </c>
      <c r="D16" s="4" t="s">
        <v>24</v>
      </c>
    </row>
    <row r="17" spans="3:4" x14ac:dyDescent="0.2">
      <c r="C17" t="s">
        <v>10</v>
      </c>
      <c r="D17" s="7">
        <f>'OPEX CAPEX'!D20</f>
        <v>43580000</v>
      </c>
    </row>
    <row r="18" spans="3:4" x14ac:dyDescent="0.2">
      <c r="C18" t="s">
        <v>13</v>
      </c>
      <c r="D18" t="s">
        <v>28</v>
      </c>
    </row>
    <row r="19" spans="3:4" x14ac:dyDescent="0.2">
      <c r="C19" t="s">
        <v>15</v>
      </c>
      <c r="D19" t="s">
        <v>109</v>
      </c>
    </row>
    <row r="20" spans="3:4" x14ac:dyDescent="0.2">
      <c r="C20" t="s">
        <v>14</v>
      </c>
      <c r="D20" s="3" t="s">
        <v>22</v>
      </c>
    </row>
    <row r="22" spans="3:4" x14ac:dyDescent="0.2">
      <c r="C22" s="1" t="s">
        <v>8</v>
      </c>
      <c r="D22" t="s">
        <v>32</v>
      </c>
    </row>
    <row r="23" spans="3:4" x14ac:dyDescent="0.2">
      <c r="C23" t="s">
        <v>6</v>
      </c>
      <c r="D23" t="s">
        <v>2</v>
      </c>
    </row>
    <row r="24" spans="3:4" x14ac:dyDescent="0.2">
      <c r="C24" t="s">
        <v>12</v>
      </c>
      <c r="D24" t="s">
        <v>29</v>
      </c>
    </row>
    <row r="25" spans="3:4" x14ac:dyDescent="0.2">
      <c r="C25" t="s">
        <v>11</v>
      </c>
      <c r="D25" s="3" t="s">
        <v>25</v>
      </c>
    </row>
    <row r="26" spans="3:4" x14ac:dyDescent="0.2">
      <c r="C26" t="s">
        <v>10</v>
      </c>
      <c r="D26" s="7">
        <f>'OPEX CAPEX'!D29</f>
        <v>27650000</v>
      </c>
    </row>
    <row r="27" spans="3:4" x14ac:dyDescent="0.2">
      <c r="C27" t="s">
        <v>13</v>
      </c>
      <c r="D27" t="s">
        <v>27</v>
      </c>
    </row>
    <row r="28" spans="3:4" x14ac:dyDescent="0.2">
      <c r="C28" t="s">
        <v>15</v>
      </c>
      <c r="D28" t="s">
        <v>108</v>
      </c>
    </row>
    <row r="29" spans="3:4" x14ac:dyDescent="0.2">
      <c r="C29" t="s">
        <v>14</v>
      </c>
      <c r="D29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BFF5-1DA5-8A4E-B0DC-96FDCA4631CB}">
  <dimension ref="C5:M44"/>
  <sheetViews>
    <sheetView topLeftCell="D1" zoomScale="139" workbookViewId="0">
      <selection activeCell="H14" sqref="H14"/>
    </sheetView>
  </sheetViews>
  <sheetFormatPr baseColWidth="10" defaultRowHeight="16" x14ac:dyDescent="0.2"/>
  <cols>
    <col min="3" max="3" width="24.5" customWidth="1"/>
    <col min="4" max="4" width="26.83203125" customWidth="1"/>
    <col min="5" max="5" width="34" customWidth="1"/>
    <col min="7" max="7" width="24.1640625" customWidth="1"/>
    <col min="8" max="8" width="38.83203125" customWidth="1"/>
    <col min="9" max="9" width="26" customWidth="1"/>
    <col min="11" max="11" width="25.1640625" customWidth="1"/>
    <col min="12" max="12" width="13.5" customWidth="1"/>
    <col min="13" max="13" width="16.33203125" customWidth="1"/>
  </cols>
  <sheetData>
    <row r="5" spans="3:13" x14ac:dyDescent="0.2">
      <c r="C5" t="s">
        <v>16</v>
      </c>
      <c r="G5" s="1" t="s">
        <v>17</v>
      </c>
    </row>
    <row r="6" spans="3:13" x14ac:dyDescent="0.2">
      <c r="G6" s="1" t="s">
        <v>0</v>
      </c>
      <c r="I6" t="s">
        <v>61</v>
      </c>
    </row>
    <row r="7" spans="3:13" x14ac:dyDescent="0.2">
      <c r="C7" s="1" t="s">
        <v>7</v>
      </c>
      <c r="D7" t="s">
        <v>30</v>
      </c>
      <c r="E7" t="s">
        <v>5</v>
      </c>
      <c r="G7" s="1" t="s">
        <v>33</v>
      </c>
      <c r="H7" t="s">
        <v>36</v>
      </c>
      <c r="I7" s="5">
        <v>216000</v>
      </c>
      <c r="K7" s="1" t="s">
        <v>18</v>
      </c>
      <c r="M7" t="s">
        <v>61</v>
      </c>
    </row>
    <row r="8" spans="3:13" x14ac:dyDescent="0.2">
      <c r="C8" t="s">
        <v>17</v>
      </c>
      <c r="D8" s="5">
        <f>SUM(I7:I14)</f>
        <v>2725000</v>
      </c>
      <c r="G8" s="1" t="s">
        <v>34</v>
      </c>
      <c r="H8" t="s">
        <v>37</v>
      </c>
      <c r="I8" s="5">
        <v>129000</v>
      </c>
      <c r="K8" s="1" t="s">
        <v>69</v>
      </c>
      <c r="L8">
        <v>50</v>
      </c>
      <c r="M8" s="7">
        <f>L8*200000</f>
        <v>10000000</v>
      </c>
    </row>
    <row r="9" spans="3:13" x14ac:dyDescent="0.2">
      <c r="C9" t="s">
        <v>18</v>
      </c>
      <c r="D9" s="5">
        <f>SUM(M8:M14)</f>
        <v>14350000</v>
      </c>
      <c r="G9" s="1" t="s">
        <v>62</v>
      </c>
      <c r="H9" t="s">
        <v>38</v>
      </c>
      <c r="I9" s="5">
        <v>300000</v>
      </c>
      <c r="K9" s="1" t="s">
        <v>67</v>
      </c>
      <c r="L9" s="8" t="s">
        <v>64</v>
      </c>
      <c r="M9" s="7">
        <v>600000</v>
      </c>
    </row>
    <row r="10" spans="3:13" x14ac:dyDescent="0.2">
      <c r="C10" t="s">
        <v>19</v>
      </c>
      <c r="D10" s="7">
        <v>450000</v>
      </c>
      <c r="G10" s="1" t="s">
        <v>40</v>
      </c>
      <c r="H10" t="s">
        <v>39</v>
      </c>
      <c r="I10" s="5">
        <v>200000</v>
      </c>
      <c r="K10" s="1" t="s">
        <v>74</v>
      </c>
      <c r="L10">
        <v>10</v>
      </c>
      <c r="M10" s="7">
        <f>L10*150000</f>
        <v>1500000</v>
      </c>
    </row>
    <row r="11" spans="3:13" x14ac:dyDescent="0.2">
      <c r="C11" t="s">
        <v>68</v>
      </c>
      <c r="D11" s="5">
        <f>D10+D8+12*D9</f>
        <v>175375000</v>
      </c>
      <c r="G11" s="1" t="s">
        <v>41</v>
      </c>
      <c r="H11" t="s">
        <v>58</v>
      </c>
      <c r="I11" s="5">
        <v>900000</v>
      </c>
      <c r="K11" s="1" t="s">
        <v>70</v>
      </c>
      <c r="L11" s="8" t="s">
        <v>64</v>
      </c>
      <c r="M11" s="7">
        <v>800000</v>
      </c>
    </row>
    <row r="12" spans="3:13" x14ac:dyDescent="0.2">
      <c r="G12" s="1" t="s">
        <v>42</v>
      </c>
      <c r="H12" t="s">
        <v>43</v>
      </c>
      <c r="I12" s="5">
        <v>70000</v>
      </c>
      <c r="K12" s="1" t="s">
        <v>71</v>
      </c>
      <c r="M12" s="7">
        <v>1000000</v>
      </c>
    </row>
    <row r="13" spans="3:13" x14ac:dyDescent="0.2">
      <c r="G13" s="1" t="s">
        <v>44</v>
      </c>
      <c r="H13" t="s">
        <v>45</v>
      </c>
      <c r="I13" s="5">
        <v>770000</v>
      </c>
      <c r="J13" t="s">
        <v>63</v>
      </c>
      <c r="K13" s="1" t="s">
        <v>72</v>
      </c>
      <c r="M13" s="7">
        <v>150000</v>
      </c>
    </row>
    <row r="14" spans="3:13" x14ac:dyDescent="0.2">
      <c r="G14" s="1" t="s">
        <v>46</v>
      </c>
      <c r="H14" t="s">
        <v>47</v>
      </c>
      <c r="I14" s="5">
        <v>140000</v>
      </c>
      <c r="K14" s="1" t="s">
        <v>73</v>
      </c>
      <c r="M14" s="7">
        <v>300000</v>
      </c>
    </row>
    <row r="16" spans="3:13" x14ac:dyDescent="0.2">
      <c r="C16" s="1" t="s">
        <v>9</v>
      </c>
      <c r="D16" t="s">
        <v>31</v>
      </c>
      <c r="E16" t="s">
        <v>3</v>
      </c>
      <c r="G16" s="1" t="s">
        <v>17</v>
      </c>
    </row>
    <row r="17" spans="3:13" x14ac:dyDescent="0.2">
      <c r="C17" t="s">
        <v>17</v>
      </c>
      <c r="D17" s="5">
        <f>SUM(I18:I25)</f>
        <v>1510000</v>
      </c>
      <c r="G17" s="1" t="s">
        <v>1</v>
      </c>
      <c r="I17" t="s">
        <v>61</v>
      </c>
      <c r="M17" s="7"/>
    </row>
    <row r="18" spans="3:13" x14ac:dyDescent="0.2">
      <c r="C18" t="s">
        <v>18</v>
      </c>
      <c r="D18" s="5">
        <f>SUM(M19:M25)</f>
        <v>3500000</v>
      </c>
      <c r="G18" s="1" t="s">
        <v>33</v>
      </c>
      <c r="H18" t="s">
        <v>49</v>
      </c>
      <c r="I18" s="5">
        <v>0</v>
      </c>
      <c r="K18" s="1" t="s">
        <v>18</v>
      </c>
      <c r="M18" t="s">
        <v>61</v>
      </c>
    </row>
    <row r="19" spans="3:13" x14ac:dyDescent="0.2">
      <c r="C19" t="s">
        <v>19</v>
      </c>
      <c r="D19" s="7">
        <v>70000</v>
      </c>
      <c r="G19" s="1" t="s">
        <v>34</v>
      </c>
      <c r="H19" t="s">
        <v>52</v>
      </c>
      <c r="I19" s="5">
        <v>150000</v>
      </c>
      <c r="K19" s="1" t="s">
        <v>69</v>
      </c>
      <c r="L19">
        <v>10</v>
      </c>
      <c r="M19" s="7">
        <f>L19*200000</f>
        <v>2000000</v>
      </c>
    </row>
    <row r="20" spans="3:13" x14ac:dyDescent="0.2">
      <c r="C20" t="s">
        <v>68</v>
      </c>
      <c r="D20" s="5">
        <f>D19+D17+12*D18</f>
        <v>43580000</v>
      </c>
      <c r="G20" s="1" t="s">
        <v>62</v>
      </c>
      <c r="H20" t="s">
        <v>48</v>
      </c>
      <c r="I20" s="7">
        <v>20000</v>
      </c>
      <c r="K20" s="1" t="s">
        <v>67</v>
      </c>
      <c r="L20" s="8" t="s">
        <v>64</v>
      </c>
      <c r="M20" s="7">
        <v>600000</v>
      </c>
    </row>
    <row r="21" spans="3:13" x14ac:dyDescent="0.2">
      <c r="G21" s="1" t="s">
        <v>40</v>
      </c>
      <c r="H21" t="s">
        <v>53</v>
      </c>
      <c r="I21" s="7">
        <v>0</v>
      </c>
      <c r="K21" s="1" t="s">
        <v>74</v>
      </c>
      <c r="L21">
        <v>1</v>
      </c>
      <c r="M21" s="7">
        <f>L21*150000</f>
        <v>150000</v>
      </c>
    </row>
    <row r="22" spans="3:13" x14ac:dyDescent="0.2">
      <c r="G22" s="1" t="s">
        <v>41</v>
      </c>
      <c r="H22" t="s">
        <v>57</v>
      </c>
      <c r="I22" s="5">
        <v>900000</v>
      </c>
      <c r="K22" s="1" t="s">
        <v>70</v>
      </c>
      <c r="M22" s="7">
        <v>300000</v>
      </c>
    </row>
    <row r="23" spans="3:13" x14ac:dyDescent="0.2">
      <c r="G23" s="1" t="s">
        <v>42</v>
      </c>
      <c r="H23" t="s">
        <v>50</v>
      </c>
      <c r="I23" s="7" t="s">
        <v>64</v>
      </c>
      <c r="K23" s="1" t="s">
        <v>71</v>
      </c>
      <c r="M23" s="7">
        <v>300000</v>
      </c>
    </row>
    <row r="24" spans="3:13" x14ac:dyDescent="0.2">
      <c r="G24" s="1" t="s">
        <v>44</v>
      </c>
      <c r="H24" t="s">
        <v>51</v>
      </c>
      <c r="I24" s="7">
        <v>300000</v>
      </c>
      <c r="K24" s="1" t="s">
        <v>72</v>
      </c>
      <c r="M24" s="7">
        <v>50000</v>
      </c>
    </row>
    <row r="25" spans="3:13" x14ac:dyDescent="0.2">
      <c r="C25" s="1" t="s">
        <v>8</v>
      </c>
      <c r="D25" t="s">
        <v>32</v>
      </c>
      <c r="E25" t="s">
        <v>4</v>
      </c>
      <c r="G25" s="1" t="s">
        <v>46</v>
      </c>
      <c r="H25" t="s">
        <v>65</v>
      </c>
      <c r="I25" s="7">
        <v>140000</v>
      </c>
      <c r="K25" s="1" t="s">
        <v>73</v>
      </c>
      <c r="M25" s="7">
        <v>100000</v>
      </c>
    </row>
    <row r="26" spans="3:13" x14ac:dyDescent="0.2">
      <c r="C26" t="s">
        <v>17</v>
      </c>
      <c r="D26" s="5">
        <f>SUM(I30:I37)</f>
        <v>1200000</v>
      </c>
      <c r="I26" s="7"/>
      <c r="M26" s="7"/>
    </row>
    <row r="27" spans="3:13" x14ac:dyDescent="0.2">
      <c r="C27" t="s">
        <v>18</v>
      </c>
      <c r="D27" s="5">
        <f>SUM(M31:M37)</f>
        <v>2200000</v>
      </c>
      <c r="I27" s="7"/>
      <c r="M27" s="7"/>
    </row>
    <row r="28" spans="3:13" x14ac:dyDescent="0.2">
      <c r="C28" t="s">
        <v>19</v>
      </c>
      <c r="D28" s="7">
        <v>50000</v>
      </c>
      <c r="G28" s="1" t="s">
        <v>17</v>
      </c>
      <c r="I28" s="7"/>
    </row>
    <row r="29" spans="3:13" x14ac:dyDescent="0.2">
      <c r="C29" t="s">
        <v>68</v>
      </c>
      <c r="D29" s="5">
        <f>D28+D26+12*D27</f>
        <v>27650000</v>
      </c>
      <c r="G29" s="1" t="s">
        <v>2</v>
      </c>
      <c r="I29" t="s">
        <v>61</v>
      </c>
    </row>
    <row r="30" spans="3:13" x14ac:dyDescent="0.2">
      <c r="G30" s="1" t="s">
        <v>33</v>
      </c>
      <c r="H30" t="s">
        <v>49</v>
      </c>
      <c r="I30" s="7">
        <v>0</v>
      </c>
      <c r="K30" s="1" t="s">
        <v>18</v>
      </c>
      <c r="M30" t="s">
        <v>61</v>
      </c>
    </row>
    <row r="31" spans="3:13" x14ac:dyDescent="0.2">
      <c r="G31" s="1" t="s">
        <v>34</v>
      </c>
      <c r="H31" t="s">
        <v>54</v>
      </c>
      <c r="I31" s="7">
        <v>100000</v>
      </c>
      <c r="K31" s="1" t="s">
        <v>69</v>
      </c>
      <c r="L31">
        <v>4</v>
      </c>
      <c r="M31" s="7">
        <f>L31*200000</f>
        <v>800000</v>
      </c>
    </row>
    <row r="32" spans="3:13" x14ac:dyDescent="0.2">
      <c r="G32" s="1" t="s">
        <v>35</v>
      </c>
      <c r="H32" t="s">
        <v>55</v>
      </c>
      <c r="I32" s="7">
        <v>0</v>
      </c>
      <c r="K32" s="1" t="s">
        <v>67</v>
      </c>
      <c r="L32" s="8" t="s">
        <v>64</v>
      </c>
      <c r="M32" s="7">
        <v>600000</v>
      </c>
    </row>
    <row r="33" spans="7:13" x14ac:dyDescent="0.2">
      <c r="G33" s="1" t="s">
        <v>40</v>
      </c>
      <c r="H33" t="s">
        <v>53</v>
      </c>
      <c r="I33" s="7">
        <v>0</v>
      </c>
      <c r="K33" s="1" t="s">
        <v>74</v>
      </c>
      <c r="L33">
        <v>0</v>
      </c>
      <c r="M33" s="7">
        <v>0</v>
      </c>
    </row>
    <row r="34" spans="7:13" x14ac:dyDescent="0.2">
      <c r="G34" s="1" t="s">
        <v>56</v>
      </c>
      <c r="H34" t="s">
        <v>66</v>
      </c>
      <c r="I34" s="7">
        <v>400000</v>
      </c>
      <c r="K34" s="1" t="s">
        <v>70</v>
      </c>
      <c r="M34" s="7">
        <v>500000</v>
      </c>
    </row>
    <row r="35" spans="7:13" x14ac:dyDescent="0.2">
      <c r="G35" s="1" t="s">
        <v>42</v>
      </c>
      <c r="H35" t="s">
        <v>50</v>
      </c>
      <c r="I35" s="7">
        <v>0</v>
      </c>
      <c r="K35" s="1" t="s">
        <v>71</v>
      </c>
      <c r="M35" s="7">
        <v>300000</v>
      </c>
    </row>
    <row r="36" spans="7:13" x14ac:dyDescent="0.2">
      <c r="G36" s="1" t="s">
        <v>44</v>
      </c>
      <c r="H36" t="s">
        <v>59</v>
      </c>
      <c r="I36" s="7">
        <v>600000</v>
      </c>
      <c r="K36" s="1" t="s">
        <v>72</v>
      </c>
      <c r="M36" s="7">
        <v>0</v>
      </c>
    </row>
    <row r="37" spans="7:13" x14ac:dyDescent="0.2">
      <c r="G37" s="1" t="s">
        <v>46</v>
      </c>
      <c r="H37" t="s">
        <v>60</v>
      </c>
      <c r="I37" s="7">
        <v>100000</v>
      </c>
      <c r="K37" s="1" t="s">
        <v>73</v>
      </c>
      <c r="M37" s="7">
        <v>0</v>
      </c>
    </row>
    <row r="39" spans="7:13" x14ac:dyDescent="0.2">
      <c r="I39" s="7"/>
    </row>
    <row r="43" spans="7:13" x14ac:dyDescent="0.2">
      <c r="I43" s="7"/>
    </row>
    <row r="44" spans="7:13" x14ac:dyDescent="0.2">
      <c r="I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5D8D-99FF-6545-A6A3-C5910329A6A1}">
  <dimension ref="D1:N19"/>
  <sheetViews>
    <sheetView topLeftCell="D4" zoomScale="125" zoomScaleNormal="85" workbookViewId="0">
      <selection activeCell="F9" sqref="F9"/>
    </sheetView>
  </sheetViews>
  <sheetFormatPr baseColWidth="10" defaultColWidth="8.83203125" defaultRowHeight="15" x14ac:dyDescent="0.2"/>
  <cols>
    <col min="1" max="3" width="8.83203125" style="11"/>
    <col min="4" max="4" width="62.83203125" style="11" customWidth="1"/>
    <col min="5" max="5" width="20" style="11" customWidth="1"/>
    <col min="6" max="6" width="18.5" style="11" customWidth="1"/>
    <col min="7" max="7" width="22.83203125" style="11" customWidth="1"/>
    <col min="8" max="8" width="19.1640625" style="11" customWidth="1"/>
    <col min="9" max="9" width="20.83203125" style="11" customWidth="1"/>
    <col min="10" max="10" width="18.5" style="11" customWidth="1"/>
    <col min="11" max="11" width="24.33203125" style="11" customWidth="1"/>
    <col min="12" max="12" width="18.1640625" style="11" customWidth="1"/>
    <col min="13" max="13" width="20.5" style="11" customWidth="1"/>
    <col min="14" max="14" width="17.6640625" style="11" customWidth="1"/>
    <col min="15" max="16384" width="8.83203125" style="11"/>
  </cols>
  <sheetData>
    <row r="1" spans="4:14" x14ac:dyDescent="0.2">
      <c r="D1" s="19" t="s">
        <v>80</v>
      </c>
      <c r="E1" s="19" t="s">
        <v>80</v>
      </c>
      <c r="G1" s="27" t="s">
        <v>105</v>
      </c>
      <c r="H1" s="18">
        <v>0.7</v>
      </c>
    </row>
    <row r="2" spans="4:14" x14ac:dyDescent="0.2">
      <c r="D2" s="17" t="s">
        <v>100</v>
      </c>
      <c r="E2" s="20">
        <v>2000000</v>
      </c>
    </row>
    <row r="3" spans="4:14" x14ac:dyDescent="0.2">
      <c r="D3" s="17" t="s">
        <v>102</v>
      </c>
      <c r="E3" s="26">
        <v>500</v>
      </c>
    </row>
    <row r="4" spans="4:14" x14ac:dyDescent="0.2">
      <c r="D4" s="17" t="s">
        <v>101</v>
      </c>
      <c r="E4" s="20">
        <v>300000</v>
      </c>
    </row>
    <row r="5" spans="4:14" x14ac:dyDescent="0.2">
      <c r="D5" s="17" t="s">
        <v>103</v>
      </c>
      <c r="E5" s="26">
        <v>1000</v>
      </c>
    </row>
    <row r="6" spans="4:14" x14ac:dyDescent="0.2">
      <c r="D6" s="17" t="s">
        <v>92</v>
      </c>
      <c r="E6" s="21">
        <v>5000000</v>
      </c>
    </row>
    <row r="7" spans="4:14" ht="16" x14ac:dyDescent="0.2">
      <c r="D7" s="17" t="s">
        <v>93</v>
      </c>
      <c r="E7" s="22">
        <v>0.15</v>
      </c>
    </row>
    <row r="8" spans="4:14" ht="16" x14ac:dyDescent="0.2">
      <c r="D8" s="17" t="s">
        <v>94</v>
      </c>
      <c r="E8" s="15">
        <v>1000</v>
      </c>
    </row>
    <row r="9" spans="4:14" ht="16" x14ac:dyDescent="0.2">
      <c r="D9" s="17" t="s">
        <v>95</v>
      </c>
      <c r="E9" s="24">
        <v>50000</v>
      </c>
    </row>
    <row r="10" spans="4:14" ht="16" x14ac:dyDescent="0.2">
      <c r="D10" s="17" t="s">
        <v>96</v>
      </c>
      <c r="E10" s="24">
        <v>50000</v>
      </c>
    </row>
    <row r="11" spans="4:14" ht="16" x14ac:dyDescent="0.2">
      <c r="D11" s="17" t="s">
        <v>97</v>
      </c>
      <c r="E11" s="23">
        <v>7.0000000000000007E-2</v>
      </c>
    </row>
    <row r="12" spans="4:14" ht="32" x14ac:dyDescent="0.2">
      <c r="E12" s="16" t="s">
        <v>83</v>
      </c>
      <c r="F12" s="16" t="s">
        <v>88</v>
      </c>
      <c r="G12" s="16" t="s">
        <v>89</v>
      </c>
      <c r="H12" s="16" t="s">
        <v>90</v>
      </c>
      <c r="I12" s="16" t="s">
        <v>91</v>
      </c>
      <c r="J12" s="16" t="s">
        <v>87</v>
      </c>
      <c r="K12" s="16" t="s">
        <v>86</v>
      </c>
      <c r="L12" s="16" t="s">
        <v>85</v>
      </c>
      <c r="M12" s="16" t="s">
        <v>84</v>
      </c>
      <c r="N12" s="17" t="s">
        <v>106</v>
      </c>
    </row>
    <row r="13" spans="4:14" ht="16" x14ac:dyDescent="0.2">
      <c r="E13" s="11">
        <v>2025</v>
      </c>
      <c r="F13" s="15">
        <f>$E$6*0.01</f>
        <v>50000</v>
      </c>
      <c r="G13" s="15">
        <f>($E$8+$E$9)*0.0006</f>
        <v>30.599999999999998</v>
      </c>
      <c r="H13" s="14">
        <f>F13*$E$2</f>
        <v>100000000000</v>
      </c>
      <c r="I13" s="14">
        <f>G13*$E$4</f>
        <v>9180000</v>
      </c>
      <c r="J13" s="12">
        <f>(H13+I13)*$H$1</f>
        <v>70006426000</v>
      </c>
      <c r="K13" s="12">
        <f>($E$3*F13+$E$5*G13)*$E$10*$E$11 + 'OPEX CAPEX'!D17+'OPEX CAPEX'!D19*1.7</f>
        <v>87608729000.000015</v>
      </c>
      <c r="L13" s="13">
        <f>$E$3*F13+$E$5*G13</f>
        <v>25030600</v>
      </c>
      <c r="M13" s="12">
        <f t="shared" ref="M13:M18" si="0">J13-K13</f>
        <v>-17602303000.000015</v>
      </c>
      <c r="N13" s="12">
        <f>M13/1000000</f>
        <v>-17602.303000000014</v>
      </c>
    </row>
    <row r="14" spans="4:14" ht="16" x14ac:dyDescent="0.2">
      <c r="E14" s="11">
        <v>2026</v>
      </c>
      <c r="F14" s="15">
        <f>$E$6*0.1</f>
        <v>500000</v>
      </c>
      <c r="G14" s="15">
        <f>($E$8+$E$9)*0.001</f>
        <v>51</v>
      </c>
      <c r="H14" s="14">
        <f t="shared" ref="H14:H18" si="1">F14*$E$2</f>
        <v>1000000000000</v>
      </c>
      <c r="I14" s="14">
        <f t="shared" ref="I14:I18" si="2">G14*$E$4</f>
        <v>15300000</v>
      </c>
      <c r="J14" s="12">
        <f>(H14+I14)*($H$1+0.13)</f>
        <v>830012699000</v>
      </c>
      <c r="K14" s="12">
        <f>($E$3*F14+$E$5*G14)*$E$10*$E$11+'OPEX CAPEX'!D18</f>
        <v>875182000000.00012</v>
      </c>
      <c r="L14" s="13">
        <f t="shared" ref="L14:L18" si="3">$E$3*F14+$E$5*G14</f>
        <v>250051000</v>
      </c>
      <c r="M14" s="12">
        <f t="shared" si="0"/>
        <v>-45169301000.000122</v>
      </c>
      <c r="N14" s="12">
        <f t="shared" ref="N14:N18" si="4">M14/1000000</f>
        <v>-45169.301000000123</v>
      </c>
    </row>
    <row r="15" spans="4:14" ht="16" x14ac:dyDescent="0.2">
      <c r="E15" s="11">
        <v>2027</v>
      </c>
      <c r="F15" s="15">
        <f>$E$6*0.2</f>
        <v>1000000</v>
      </c>
      <c r="G15" s="15">
        <f>($E$8+$E$9)*0.005</f>
        <v>255</v>
      </c>
      <c r="H15" s="14">
        <f t="shared" si="1"/>
        <v>2000000000000</v>
      </c>
      <c r="I15" s="14">
        <f t="shared" si="2"/>
        <v>76500000</v>
      </c>
      <c r="J15" s="12">
        <f>(H15+I15)*($H$1+0.2)</f>
        <v>1800068849999.9998</v>
      </c>
      <c r="K15" s="12">
        <f t="shared" ref="K15:K18" si="5">($E$3*F15+$E$5*G15)*$E$10*$E$11</f>
        <v>1750892500000.0002</v>
      </c>
      <c r="L15" s="13">
        <f t="shared" si="3"/>
        <v>500255000</v>
      </c>
      <c r="M15" s="12">
        <f t="shared" si="0"/>
        <v>49176349999.999512</v>
      </c>
      <c r="N15" s="12">
        <f t="shared" si="4"/>
        <v>49176.349999999511</v>
      </c>
    </row>
    <row r="16" spans="4:14" ht="16" x14ac:dyDescent="0.2">
      <c r="E16" s="11">
        <v>2028</v>
      </c>
      <c r="F16" s="15">
        <f>$E$6*0.3</f>
        <v>1500000</v>
      </c>
      <c r="G16" s="15">
        <f>($E$8+$E$9)*0.02</f>
        <v>1020</v>
      </c>
      <c r="H16" s="14">
        <f t="shared" si="1"/>
        <v>3000000000000</v>
      </c>
      <c r="I16" s="14">
        <f t="shared" si="2"/>
        <v>306000000</v>
      </c>
      <c r="J16" s="12">
        <f>(H16+I16)*($H$1+0.3)</f>
        <v>3000306000000</v>
      </c>
      <c r="K16" s="12">
        <f t="shared" si="5"/>
        <v>2628570000000.0005</v>
      </c>
      <c r="L16" s="13">
        <f t="shared" si="3"/>
        <v>751020000</v>
      </c>
      <c r="M16" s="12">
        <f t="shared" si="0"/>
        <v>371735999999.99951</v>
      </c>
      <c r="N16" s="12">
        <f t="shared" si="4"/>
        <v>371735.99999999953</v>
      </c>
    </row>
    <row r="17" spans="5:14" ht="16" x14ac:dyDescent="0.2">
      <c r="E17" s="11">
        <v>2029</v>
      </c>
      <c r="F17" s="15">
        <f>$E$6*0.35</f>
        <v>1750000</v>
      </c>
      <c r="G17" s="15">
        <f>($E$8+$E$9)*0.03</f>
        <v>1530</v>
      </c>
      <c r="H17" s="14">
        <f t="shared" si="1"/>
        <v>3500000000000</v>
      </c>
      <c r="I17" s="14">
        <f t="shared" si="2"/>
        <v>459000000</v>
      </c>
      <c r="J17" s="12">
        <f>(H17+I17)*($H$1+0.3)</f>
        <v>3500459000000</v>
      </c>
      <c r="K17" s="12">
        <f t="shared" si="5"/>
        <v>3067855000000.0005</v>
      </c>
      <c r="L17" s="13">
        <f t="shared" si="3"/>
        <v>876530000</v>
      </c>
      <c r="M17" s="12">
        <f t="shared" si="0"/>
        <v>432603999999.99951</v>
      </c>
      <c r="N17" s="12">
        <f t="shared" si="4"/>
        <v>432603.99999999953</v>
      </c>
    </row>
    <row r="18" spans="5:14" ht="16" x14ac:dyDescent="0.2">
      <c r="E18" s="11">
        <v>2030</v>
      </c>
      <c r="F18" s="15">
        <f>$E$6*0.4</f>
        <v>2000000</v>
      </c>
      <c r="G18" s="15">
        <f>($E$8+$E$9)*0.04</f>
        <v>2040</v>
      </c>
      <c r="H18" s="14">
        <f t="shared" si="1"/>
        <v>4000000000000</v>
      </c>
      <c r="I18" s="14">
        <f t="shared" si="2"/>
        <v>612000000</v>
      </c>
      <c r="J18" s="12">
        <f>(H18+I18)*($H$1+0.3)</f>
        <v>4000612000000</v>
      </c>
      <c r="K18" s="12">
        <f t="shared" si="5"/>
        <v>3507140000000.0005</v>
      </c>
      <c r="L18" s="13">
        <f t="shared" si="3"/>
        <v>1002040000</v>
      </c>
      <c r="M18" s="12">
        <f t="shared" si="0"/>
        <v>493471999999.99951</v>
      </c>
      <c r="N18" s="12">
        <f t="shared" si="4"/>
        <v>493471.99999999953</v>
      </c>
    </row>
    <row r="19" spans="5:14" x14ac:dyDescent="0.2">
      <c r="E19" s="17" t="s">
        <v>99</v>
      </c>
      <c r="F19" s="25" t="s">
        <v>98</v>
      </c>
      <c r="G19" s="25" t="s">
        <v>104</v>
      </c>
    </row>
  </sheetData>
  <conditionalFormatting sqref="M13:M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E3C4-60F6-9B41-BBCF-AA1542851CD8}">
  <dimension ref="G3:H16"/>
  <sheetViews>
    <sheetView workbookViewId="0">
      <selection activeCell="E19" sqref="E19"/>
    </sheetView>
  </sheetViews>
  <sheetFormatPr baseColWidth="10" defaultRowHeight="16" x14ac:dyDescent="0.2"/>
  <cols>
    <col min="3" max="3" width="33" customWidth="1"/>
    <col min="4" max="4" width="26.6640625" customWidth="1"/>
    <col min="5" max="5" width="28.83203125" customWidth="1"/>
    <col min="6" max="6" width="30.1640625" customWidth="1"/>
    <col min="7" max="7" width="25.6640625" customWidth="1"/>
    <col min="8" max="8" width="24.6640625" customWidth="1"/>
  </cols>
  <sheetData>
    <row r="3" spans="7:8" x14ac:dyDescent="0.2">
      <c r="G3" s="28"/>
      <c r="H3" s="28"/>
    </row>
    <row r="5" spans="7:8" x14ac:dyDescent="0.2">
      <c r="G5" s="7"/>
      <c r="H5" s="7"/>
    </row>
    <row r="6" spans="7:8" x14ac:dyDescent="0.2">
      <c r="G6" s="7"/>
      <c r="H6" s="7"/>
    </row>
    <row r="7" spans="7:8" x14ac:dyDescent="0.2">
      <c r="G7" s="7"/>
      <c r="H7" s="7"/>
    </row>
    <row r="8" spans="7:8" x14ac:dyDescent="0.2">
      <c r="G8" s="7"/>
      <c r="H8" s="7"/>
    </row>
    <row r="9" spans="7:8" x14ac:dyDescent="0.2">
      <c r="G9" s="7"/>
      <c r="H9" s="7"/>
    </row>
    <row r="10" spans="7:8" x14ac:dyDescent="0.2">
      <c r="G10" s="7"/>
      <c r="H10" s="7"/>
    </row>
    <row r="11" spans="7:8" x14ac:dyDescent="0.2">
      <c r="G11" s="7"/>
      <c r="H11" s="7"/>
    </row>
    <row r="12" spans="7:8" x14ac:dyDescent="0.2">
      <c r="G12" s="7"/>
      <c r="H12" s="7"/>
    </row>
    <row r="13" spans="7:8" x14ac:dyDescent="0.2">
      <c r="G13" s="7"/>
      <c r="H13" s="7"/>
    </row>
    <row r="14" spans="7:8" x14ac:dyDescent="0.2">
      <c r="G14" s="7"/>
      <c r="H14" s="7"/>
    </row>
    <row r="15" spans="7:8" x14ac:dyDescent="0.2">
      <c r="G15" s="7"/>
      <c r="H15" s="7"/>
    </row>
    <row r="16" spans="7:8" x14ac:dyDescent="0.2">
      <c r="G16" s="7"/>
      <c r="H16" s="7"/>
    </row>
  </sheetData>
  <mergeCells count="1"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4F9F-C244-3445-8CB0-2CF30825377F}">
  <dimension ref="C4:I18"/>
  <sheetViews>
    <sheetView zoomScale="106" workbookViewId="0">
      <selection activeCell="C16" sqref="C16"/>
    </sheetView>
  </sheetViews>
  <sheetFormatPr baseColWidth="10" defaultRowHeight="16" x14ac:dyDescent="0.2"/>
  <cols>
    <col min="3" max="3" width="25.5" customWidth="1"/>
    <col min="4" max="4" width="33.83203125" customWidth="1"/>
    <col min="5" max="5" width="22" customWidth="1"/>
  </cols>
  <sheetData>
    <row r="4" spans="3:5" x14ac:dyDescent="0.2">
      <c r="C4" t="s">
        <v>75</v>
      </c>
    </row>
    <row r="6" spans="3:5" x14ac:dyDescent="0.2">
      <c r="C6" t="s">
        <v>80</v>
      </c>
      <c r="D6" t="s">
        <v>81</v>
      </c>
      <c r="E6" t="s">
        <v>82</v>
      </c>
    </row>
    <row r="7" spans="3:5" x14ac:dyDescent="0.2">
      <c r="C7" t="s">
        <v>78</v>
      </c>
      <c r="D7" s="9">
        <v>500</v>
      </c>
      <c r="E7" s="9">
        <v>200</v>
      </c>
    </row>
    <row r="8" spans="3:5" x14ac:dyDescent="0.2">
      <c r="C8" t="s">
        <v>79</v>
      </c>
      <c r="D8" s="9">
        <v>1500000</v>
      </c>
      <c r="E8" s="9">
        <v>1200000</v>
      </c>
    </row>
    <row r="9" spans="3:5" x14ac:dyDescent="0.2">
      <c r="D9" s="9"/>
      <c r="E9" s="9"/>
    </row>
    <row r="10" spans="3:5" x14ac:dyDescent="0.2">
      <c r="D10" s="9"/>
      <c r="E10" s="9"/>
    </row>
    <row r="11" spans="3:5" x14ac:dyDescent="0.2">
      <c r="C11" t="s">
        <v>76</v>
      </c>
      <c r="D11" s="9">
        <v>10000</v>
      </c>
      <c r="E11" s="9"/>
    </row>
    <row r="12" spans="3:5" x14ac:dyDescent="0.2">
      <c r="C12" t="s">
        <v>77</v>
      </c>
      <c r="D12" s="9">
        <v>2000</v>
      </c>
    </row>
    <row r="18" spans="5:9" x14ac:dyDescent="0.2">
      <c r="E18" s="10"/>
      <c r="F18" s="10"/>
      <c r="G18" s="10"/>
      <c r="H18" s="10"/>
      <c r="I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OPEX CAPEX</vt:lpstr>
      <vt:lpstr>Года и пользователи</vt:lpstr>
      <vt:lpstr>Доходы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Бокарев</dc:creator>
  <cp:lastModifiedBy>Степан Бокарев</cp:lastModifiedBy>
  <dcterms:created xsi:type="dcterms:W3CDTF">2025-03-01T12:07:42Z</dcterms:created>
  <dcterms:modified xsi:type="dcterms:W3CDTF">2025-03-02T07:04:26Z</dcterms:modified>
</cp:coreProperties>
</file>